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5HMvPobNbzrlwDE2zvNTn/qWfdIkPKdBsdGN318YQ8FzPX5Fk/anOirvme7sMerwdKXs4w0XsIONwEF3gpqELw==" workbookSaltValue="uLwEEdFReg+TksG9mrfH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M13" i="2"/>
  <c r="N13" i="2"/>
  <c r="T13" i="12"/>
  <c r="V11" i="11"/>
  <c r="BI15" i="11"/>
  <c r="BG15" i="11"/>
  <c r="AP17" i="20"/>
  <c r="BU10" i="17"/>
  <c r="BW11" i="20"/>
  <c r="BU16" i="17"/>
  <c r="T13" i="16"/>
  <c r="AZ12" i="11"/>
  <c r="BH10" i="11"/>
  <c r="BH10" i="16"/>
  <c r="S17" i="17"/>
  <c r="BH12" i="16"/>
  <c r="T13" i="20"/>
  <c r="BF15" i="8"/>
  <c r="AU18" i="21"/>
  <c r="AH13" i="16"/>
  <c r="L12" i="2"/>
  <c r="X15" i="16"/>
  <c r="X18" i="16" s="1"/>
  <c r="AP13" i="16"/>
  <c r="T18" i="17"/>
  <c r="BG15" i="13"/>
  <c r="BE16" i="13"/>
  <c r="BE15" i="13"/>
  <c r="AX20" i="20"/>
  <c r="B18" i="7" l="1"/>
  <c r="S19" i="8"/>
  <c r="BG10" i="8"/>
  <c r="BF9" i="8"/>
  <c r="B9" i="6"/>
  <c r="M18" i="2"/>
  <c r="N18" i="2"/>
  <c r="K18" i="2"/>
  <c r="H10" i="2"/>
  <c r="T9" i="11"/>
  <c r="V9" i="16"/>
  <c r="V10" i="16"/>
  <c r="L17" i="2"/>
  <c r="S16" i="17"/>
  <c r="S15" i="17"/>
  <c r="BK10" i="11"/>
  <c r="BM9" i="11"/>
  <c r="BM17" i="11"/>
  <c r="AQ10" i="21"/>
  <c r="BG12" i="11"/>
  <c r="BW10" i="20"/>
  <c r="BW12" i="20"/>
  <c r="BU11" i="17"/>
  <c r="BK17" i="11"/>
  <c r="BJ12" i="11"/>
  <c r="BM12" i="11"/>
  <c r="BF10" i="11"/>
  <c r="BM16" i="11"/>
  <c r="BH11" i="16"/>
  <c r="AL16" i="11"/>
  <c r="C16" i="6"/>
  <c r="BE9" i="13"/>
  <c r="L9" i="2"/>
  <c r="U9" i="17"/>
  <c r="U19" i="17" s="1"/>
  <c r="X10" i="21"/>
  <c r="L16" i="2"/>
  <c r="L15" i="2"/>
  <c r="L10" i="2"/>
  <c r="BL16" i="11"/>
  <c r="BJ16" i="11"/>
  <c r="AQ12" i="21"/>
  <c r="BH16" i="1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<sst xmlns="http://schemas.openxmlformats.org/spreadsheetml/2006/main" count="2102" uniqueCount="918">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</sst>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td22STtH0HONa0NQ6rMHv8HRDgEs69LjxKBwDeRh40OQFdfH0yGY8GvoKz+awrCz6jpyynMh47zxo3eSx+/Fw==" saltValue="1YPI3NbJJTNrLQ41S9m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47.276675786593714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91</v>
      </c>
      <c r="D10" s="225">
        <f>IF(ISNUMBER(Datos!I10),Datos!I10," - ")</f>
        <v>68</v>
      </c>
      <c r="E10" s="226">
        <f>IF(ISNUMBER(Datos!J10),Datos!J10," - ")</f>
        <v>47</v>
      </c>
      <c r="F10" s="226">
        <f>IF(ISNUMBER(Datos!K10),Datos!K10," - ")</f>
        <v>40</v>
      </c>
      <c r="G10" s="1034" t="str">
        <f>IF(Datos!E10&lt;&gt;"",Datos!E10,Datos!D10)</f>
        <v>37</v>
      </c>
      <c r="H10" s="227">
        <f>IF(ISNUMBER(Datos!L10),Datos!L10," - ")</f>
        <v>98</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26.950000000000003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91</v>
      </c>
      <c r="D13" s="1049">
        <f>SUBTOTAL(9,D9:D12)</f>
        <v>68</v>
      </c>
      <c r="E13" s="1050">
        <f>SUBTOTAL(9,E9:E12)</f>
        <v>47</v>
      </c>
      <c r="F13" s="1051">
        <f>SUBTOTAL(9,F9:F12)</f>
        <v>40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4108</v>
      </c>
      <c r="D15" s="225">
        <f>IF(ISNUMBER(IF(D_I="SI",Datos!I15,Datos!I15+Datos!AC15)),IF(D_I="SI",Datos!I15,Datos!I15+Datos!AC15)," - ")</f>
        <v>4164</v>
      </c>
      <c r="E15" s="226">
        <f>IF(ISNUMBER(IF(D_I="SI",Datos!J15,Datos!J15+Datos!AD15)),IF(D_I="SI",Datos!J15,Datos!J15+Datos!AD15)," - ")</f>
        <v>4074</v>
      </c>
      <c r="F15" s="226">
        <f>IF(ISNUMBER(IF(D_I="SI",Datos!K15,Datos!K15+Datos!AE15)),IF(D_I="SI",Datos!K15,Datos!K15+Datos!AE15)," - ")</f>
        <v>4148</v>
      </c>
      <c r="G15" s="1034" t="str">
        <f>IF(Datos!E15&lt;&gt;"",Datos!E15,Datos!D15)</f>
        <v>03</v>
      </c>
      <c r="H15" s="227">
        <f>IF(ISNUMBER(IF(D_I="SI",Datos!L15,Datos!L15+Datos!AF15)),IF(D_I="SI",Datos!L15,Datos!L15+Datos!AF15)," - ")</f>
        <v>4034</v>
      </c>
      <c r="I15" s="1044" t="str">
        <f>IF(ISNUMBER(Datos!AS15/Datos!BM15),Datos!AS15/Datos!BM15," - ")</f>
        <v xml:space="preserve"> - </v>
      </c>
      <c r="J15" s="1045">
        <f>IF(ISNUMBER(Datos!BY15/Datos!CN15),Datos!BY15/Datos!CN15," - ")</f>
        <v>0</v>
      </c>
      <c r="K15" s="230">
        <f t="shared" ref="K15:K17" si="3">IF(ISNUMBER((E15-F15)/C15),(E15-F15)/C15," - ")</f>
        <v>-1.8013631937682569E-2</v>
      </c>
      <c r="L15" s="1025">
        <f>IF(ISNUMBER(NºAsuntos!I15/NºAsuntos!G15),(NºAsuntos!I15/NºAsuntos!G15)*11," - ")</f>
        <v>10.697685631629701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362</v>
      </c>
      <c r="D17" s="225">
        <f>IF(ISNUMBER(IF(D_I="SI",Datos!I17,Datos!I17+Datos!AC17)),IF(D_I="SI",Datos!I17,Datos!I17+Datos!AC17)," - ")</f>
        <v>349</v>
      </c>
      <c r="E17" s="226">
        <f>IF(ISNUMBER(IF(D_I="SI",Datos!J17,Datos!J17+Datos!AD17)),IF(D_I="SI",Datos!J17,Datos!J17+Datos!AD17)," - ")</f>
        <v>618</v>
      </c>
      <c r="F17" s="226">
        <f>IF(ISNUMBER(IF(D_I="SI",Datos!K17,Datos!K17+Datos!AE17)),IF(D_I="SI",Datos!K17,Datos!K17+Datos!AE17)," - ")</f>
        <v>401</v>
      </c>
      <c r="G17" s="1034" t="str">
        <f>IF(Datos!E17&lt;&gt;"",Datos!E17,Datos!D17)</f>
        <v>37</v>
      </c>
      <c r="H17" s="227">
        <f>IF(ISNUMBER(IF(D_I="SI",Datos!L17,Datos!L17+Datos!AF17)),IF(D_I="SI",Datos!L17,Datos!L17+Datos!AF17)," - ")</f>
        <v>579</v>
      </c>
      <c r="I17" s="1044" t="str">
        <f>IF(ISNUMBER(Datos!AS17/Datos!BM17),Datos!AS17/Datos!BM17," - ")</f>
        <v xml:space="preserve"> - </v>
      </c>
      <c r="J17" s="1045" t="str">
        <f>IF(ISNUMBER((Datos!BY17+Datos!BZ17)/Datos!CN17),(Datos!BY17+Datos!BZ17)/Datos!CN17," - ")</f>
        <v xml:space="preserve"> - </v>
      </c>
      <c r="K17" s="230">
        <f t="shared" si="3"/>
        <v>0.59944751381215466</v>
      </c>
      <c r="L17" s="1025">
        <f>IF(ISNUMBER(NºAsuntos!I17/NºAsuntos!G17),(NºAsuntos!I17/NºAsuntos!G17)*11," - ")</f>
        <v>15.882793017456361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4470</v>
      </c>
      <c r="D18" s="1049">
        <f>SUBTOTAL(9,D15:D17)</f>
        <v>4513</v>
      </c>
      <c r="E18" s="1050">
        <f>SUBTOTAL(9,E15:E17)</f>
        <v>4692</v>
      </c>
      <c r="F18" s="1050">
        <f>SUBTOTAL(9,F15:F17)</f>
        <v>4549</v>
      </c>
      <c r="G18" s="1052" t="str">
        <f ca="1">INDIRECT(CONCATENATE("G",ROW()-1))</f>
        <v>37</v>
      </c>
      <c r="H18" s="1053">
        <f ca="1">SUMIF(G$14:G17,G18,H$14:H17)</f>
        <v>579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4561</v>
      </c>
      <c r="D19" s="1071">
        <f>SUBTOTAL(9,D9:D18)</f>
        <v>4581</v>
      </c>
      <c r="E19" s="1072">
        <f>SUBTOTAL(9,E9:E18)</f>
        <v>4739</v>
      </c>
      <c r="F19" s="1072">
        <f>SUBTOTAL(9,F9:F18)</f>
        <v>4589</v>
      </c>
      <c r="G19" s="1073"/>
      <c r="H19" s="1074">
        <f ca="1">SUMIF(B9:B18,"TOTAL",H9:H18)</f>
        <v>579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BsAdtdGHKN/xFpHMS/rQ9T4Vr6HLWoR9BPa2Xl/CNg57eA7TdvgTLsf5EV1OKfoWH71byOvcgJZs18tAIOmXWg==" saltValue="aKIbXVlrGR5UBNKkio4k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lK9JELbD3ZEwihm8VBWsHPua18m0/oNuFOULSdhEHWcW0cPebajaRcBsSt1lwjoZvb+Epk8/Dx7PWGnT3yoIA==" saltValue="VPYkDgZHUCj0f8aAin3G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11124</v>
      </c>
      <c r="J9" s="181">
        <v>3920</v>
      </c>
      <c r="K9" s="181">
        <v>2766</v>
      </c>
      <c r="L9" s="181">
        <v>12278</v>
      </c>
      <c r="M9" s="181">
        <v>713</v>
      </c>
      <c r="N9" s="181">
        <v>1151</v>
      </c>
      <c r="O9" s="181">
        <v>1383</v>
      </c>
      <c r="P9" s="181">
        <v>732</v>
      </c>
      <c r="Q9" s="181">
        <v>481</v>
      </c>
      <c r="R9" s="181">
        <v>10469</v>
      </c>
      <c r="S9" s="181">
        <v>10087</v>
      </c>
      <c r="T9" s="181">
        <v>2481</v>
      </c>
      <c r="U9" s="181">
        <v>2446</v>
      </c>
      <c r="V9" s="181">
        <v>10121</v>
      </c>
      <c r="W9" s="181">
        <v>659</v>
      </c>
      <c r="X9" s="188">
        <v>796</v>
      </c>
      <c r="Y9" s="191">
        <v>296</v>
      </c>
      <c r="Z9" s="181">
        <v>143</v>
      </c>
      <c r="AA9" s="181">
        <v>158</v>
      </c>
      <c r="AB9" s="181">
        <v>289</v>
      </c>
      <c r="AC9" s="181">
        <v>0</v>
      </c>
      <c r="AD9" s="181">
        <v>0</v>
      </c>
      <c r="AE9" s="181">
        <v>0</v>
      </c>
      <c r="AF9" s="188">
        <v>0</v>
      </c>
      <c r="AG9" s="191">
        <v>265</v>
      </c>
      <c r="AH9" s="181">
        <v>126</v>
      </c>
      <c r="AI9" s="181">
        <v>129</v>
      </c>
      <c r="AJ9" s="192">
        <v>262</v>
      </c>
      <c r="AK9" s="180">
        <v>0</v>
      </c>
      <c r="AL9" s="181">
        <v>0</v>
      </c>
      <c r="AM9" s="181">
        <v>0</v>
      </c>
      <c r="AN9" s="188">
        <v>0</v>
      </c>
      <c r="AO9" s="258">
        <v>8</v>
      </c>
      <c r="AP9" s="154">
        <v>8</v>
      </c>
      <c r="AQ9" s="154">
        <v>8</v>
      </c>
      <c r="AR9" s="193">
        <v>8</v>
      </c>
      <c r="AS9" s="338" t="s">
        <v>799</v>
      </c>
      <c r="AT9" s="195"/>
      <c r="AU9" s="194"/>
      <c r="AV9" s="195"/>
      <c r="AW9" s="194"/>
      <c r="AX9" s="195"/>
      <c r="AY9" s="123">
        <f>IF(ISNUMBER(IF(J_V="SI",S9,S9+AG9)),IF(J_V="SI",S9,S9+AG9)," - ")</f>
        <v>10352</v>
      </c>
      <c r="AZ9" s="123">
        <f>IF(ISNUMBER(IF(J_V="SI",T9,T9+AH9)),IF(J_V="SI",T9,T9+AH9)," - ")</f>
        <v>2607</v>
      </c>
      <c r="BA9" s="124">
        <f>IF(ISNUMBER(IF(J_V="SI",U9,U9+AI9)),IF(J_V="SI",U9,U9+AI9)," - ")</f>
        <v>2575</v>
      </c>
      <c r="BB9" s="124">
        <f>IF(ISNUMBER(IF(J_V="SI",V9,V9+AJ9)),IF(J_V="SI",V9,V9+AJ9)," - ")</f>
        <v>10383</v>
      </c>
      <c r="BC9" s="125">
        <f>IF(ISNUMBER(X9),X9," - ")</f>
        <v>796</v>
      </c>
      <c r="BD9" s="126">
        <f>IF(ISNUMBER(BA9/AZ9),BA9/AZ9," - ")</f>
        <v>0.9877253548139624</v>
      </c>
      <c r="BE9" s="127">
        <f>IF(ISNUMBER(BB9/BA9),BB9/BA9, " - ")</f>
        <v>4.0322330097087375</v>
      </c>
      <c r="BF9" s="127">
        <f>IF(ISNUMBER(BC9/BA9),BC9/BA9, " - ")</f>
        <v>0.30912621359223302</v>
      </c>
      <c r="BG9" s="196">
        <f>IF(ISNUMBER((AY9+AZ9)/BA9),(AY9+AZ9)/BA9," - ")</f>
        <v>5.0326213592233007</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68</v>
      </c>
      <c r="J10" s="181">
        <v>47</v>
      </c>
      <c r="K10" s="181">
        <v>40</v>
      </c>
      <c r="L10" s="181">
        <v>98</v>
      </c>
      <c r="M10" s="181">
        <v>17</v>
      </c>
      <c r="N10" s="181">
        <v>21</v>
      </c>
      <c r="O10" s="181">
        <v>14</v>
      </c>
      <c r="P10" s="181">
        <v>18</v>
      </c>
      <c r="Q10" s="181">
        <v>16</v>
      </c>
      <c r="R10" s="181">
        <v>49</v>
      </c>
      <c r="S10" s="181">
        <v>90</v>
      </c>
      <c r="T10" s="181">
        <v>28</v>
      </c>
      <c r="U10" s="181">
        <v>19</v>
      </c>
      <c r="V10" s="181">
        <v>80</v>
      </c>
      <c r="W10" s="181">
        <v>5</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90</v>
      </c>
      <c r="AZ10" s="129">
        <f t="shared" si="0"/>
        <v>28</v>
      </c>
      <c r="BA10" s="129">
        <f t="shared" si="0"/>
        <v>19</v>
      </c>
      <c r="BB10" s="129">
        <f t="shared" si="0"/>
        <v>80</v>
      </c>
      <c r="BC10" s="125">
        <f t="shared" si="0"/>
        <v>5</v>
      </c>
      <c r="BD10" s="126">
        <f>IF(ISNUMBER(BA10/AZ10),BA10/AZ10," - ")</f>
        <v>0.6785714285714286</v>
      </c>
      <c r="BE10" s="127">
        <f>IF(ISNUMBER(BB10/BA10),BB10/BA10, " - ")</f>
        <v>4.2105263157894735</v>
      </c>
      <c r="BF10" s="127">
        <f>IF(ISNUMBER(BC10/BA10),BC10/BA10, " - ")</f>
        <v>0.26315789473684209</v>
      </c>
      <c r="BG10" s="196">
        <f>IF(ISNUMBER((AY10+AZ10)/BA10),(AY10+AZ10)/BA10," - ")</f>
        <v>6.2105263157894735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11192</v>
      </c>
      <c r="J13" s="184">
        <f t="shared" si="6"/>
        <v>3967</v>
      </c>
      <c r="K13" s="184">
        <f t="shared" si="6"/>
        <v>2806</v>
      </c>
      <c r="L13" s="184">
        <f t="shared" si="6"/>
        <v>12376</v>
      </c>
      <c r="M13" s="184">
        <f t="shared" si="6"/>
        <v>730</v>
      </c>
      <c r="N13" s="184">
        <f t="shared" si="6"/>
        <v>1172</v>
      </c>
      <c r="O13" s="184">
        <f t="shared" si="6"/>
        <v>1397</v>
      </c>
      <c r="P13" s="184">
        <f t="shared" si="6"/>
        <v>750</v>
      </c>
      <c r="Q13" s="184">
        <f t="shared" si="6"/>
        <v>497</v>
      </c>
      <c r="R13" s="184">
        <f t="shared" si="6"/>
        <v>10518</v>
      </c>
      <c r="S13" s="184">
        <f t="shared" si="6"/>
        <v>10177</v>
      </c>
      <c r="T13" s="184">
        <f t="shared" si="6"/>
        <v>2509</v>
      </c>
      <c r="U13" s="184">
        <f t="shared" si="6"/>
        <v>2465</v>
      </c>
      <c r="V13" s="184">
        <f t="shared" si="6"/>
        <v>10201</v>
      </c>
      <c r="W13" s="184">
        <f t="shared" si="6"/>
        <v>664</v>
      </c>
      <c r="X13" s="184">
        <f t="shared" si="6"/>
        <v>807</v>
      </c>
      <c r="Y13" s="184">
        <f t="shared" si="6"/>
        <v>296</v>
      </c>
      <c r="Z13" s="184">
        <f t="shared" si="6"/>
        <v>143</v>
      </c>
      <c r="AA13" s="184">
        <f t="shared" si="6"/>
        <v>158</v>
      </c>
      <c r="AB13" s="184">
        <f t="shared" si="6"/>
        <v>289</v>
      </c>
      <c r="AC13" s="184">
        <f t="shared" si="6"/>
        <v>0</v>
      </c>
      <c r="AD13" s="184">
        <f t="shared" si="6"/>
        <v>0</v>
      </c>
      <c r="AE13" s="184">
        <f t="shared" si="6"/>
        <v>0</v>
      </c>
      <c r="AF13" s="184">
        <f>SUBTOTAL(9,AF9:AF12)</f>
        <v>0</v>
      </c>
      <c r="AG13" s="184">
        <f t="shared" ref="AG13:AT13" si="7">SUBTOTAL(9,AG8:AG12)</f>
        <v>265</v>
      </c>
      <c r="AH13" s="184">
        <f t="shared" si="7"/>
        <v>126</v>
      </c>
      <c r="AI13" s="184">
        <f t="shared" si="7"/>
        <v>129</v>
      </c>
      <c r="AJ13" s="184">
        <f t="shared" si="7"/>
        <v>262</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10442</v>
      </c>
      <c r="AZ13" s="184">
        <f>SUBTOTAL(9,AZ8:AZ12)</f>
        <v>2635</v>
      </c>
      <c r="BA13" s="184">
        <f>SUBTOTAL(9,BA8:BA12)</f>
        <v>2594</v>
      </c>
      <c r="BB13" s="184">
        <f>SUBTOTAL(9,BB8:BB12)</f>
        <v>10463</v>
      </c>
      <c r="BC13" s="184">
        <f>SUBTOTAL(9,BC8:BC12)</f>
        <v>801</v>
      </c>
      <c r="BD13" s="205">
        <f>IF(ISNUMBER(BA13/AZ13),BA13/AZ13," - ")</f>
        <v>0.98444022770398487</v>
      </c>
      <c r="BE13" s="206">
        <f>IF(ISNUMBER(BB13/BA13),BB13/BA13, " - ")</f>
        <v>4.0335389360061678</v>
      </c>
      <c r="BF13" s="206">
        <f>IF(ISNUMBER(BC13/BA13),BC13/BA13, " - ")</f>
        <v>0.30878951426368545</v>
      </c>
      <c r="BG13" s="207">
        <f>IF(ISNUMBER((AY13+AZ13)/BA13),(AY13+AZ13)/BA13," - ")</f>
        <v>5.0412490362374713</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4164</v>
      </c>
      <c r="J15" s="183">
        <v>4074</v>
      </c>
      <c r="K15" s="183">
        <v>4148</v>
      </c>
      <c r="L15" s="183">
        <v>4034</v>
      </c>
      <c r="M15" s="183">
        <v>439</v>
      </c>
      <c r="N15" s="183">
        <v>2641</v>
      </c>
      <c r="O15" s="181">
        <v>105</v>
      </c>
      <c r="P15" s="183">
        <v>125</v>
      </c>
      <c r="Q15" s="183">
        <v>123</v>
      </c>
      <c r="R15" s="183">
        <v>348</v>
      </c>
      <c r="S15" s="183">
        <v>3926</v>
      </c>
      <c r="T15" s="183">
        <v>4640</v>
      </c>
      <c r="U15" s="183">
        <v>4470</v>
      </c>
      <c r="V15" s="183">
        <v>3837</v>
      </c>
      <c r="W15" s="183">
        <v>386</v>
      </c>
      <c r="X15" s="189">
        <v>3177</v>
      </c>
      <c r="Y15" s="202">
        <v>0</v>
      </c>
      <c r="Z15" s="183">
        <v>0</v>
      </c>
      <c r="AA15" s="183">
        <v>0</v>
      </c>
      <c r="AB15" s="183">
        <v>0</v>
      </c>
      <c r="AC15" s="183">
        <v>0</v>
      </c>
      <c r="AD15" s="183">
        <v>42</v>
      </c>
      <c r="AE15" s="183">
        <v>42</v>
      </c>
      <c r="AF15" s="189">
        <v>0</v>
      </c>
      <c r="AG15" s="202">
        <v>0</v>
      </c>
      <c r="AH15" s="183">
        <v>0</v>
      </c>
      <c r="AI15" s="183">
        <v>0</v>
      </c>
      <c r="AJ15" s="203">
        <v>0</v>
      </c>
      <c r="AK15" s="182">
        <v>2</v>
      </c>
      <c r="AL15" s="183">
        <v>48</v>
      </c>
      <c r="AM15" s="183">
        <v>50</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3926</v>
      </c>
      <c r="AZ15" s="129">
        <f t="shared" si="9"/>
        <v>4640</v>
      </c>
      <c r="BA15" s="129">
        <f t="shared" si="9"/>
        <v>4470</v>
      </c>
      <c r="BB15" s="129">
        <f t="shared" si="9"/>
        <v>3837</v>
      </c>
      <c r="BC15" s="125">
        <f>IF(ISNUMBER(W15),W15," - ")</f>
        <v>386</v>
      </c>
      <c r="BD15" s="126">
        <f>IF(ISNUMBER(BA15/AZ15),BA15/AZ15," - ")</f>
        <v>0.96336206896551724</v>
      </c>
      <c r="BE15" s="127">
        <f>IF(ISNUMBER(BB15/BA15),BB15/BA15, " - ")</f>
        <v>0.85838926174496644</v>
      </c>
      <c r="BF15" s="127">
        <f>IF(ISNUMBER(BC15/BA15),BC15/BA15, " - ")</f>
        <v>8.6353467561521249E-2</v>
      </c>
      <c r="BG15" s="196">
        <f t="shared" ref="BG15:BG16" si="10">IF(ISNUMBER((AY15+AZ15)/BA15),(AY15+AZ15)/BA15," - ")</f>
        <v>1.916331096196868</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349</v>
      </c>
      <c r="J17" s="183">
        <v>618</v>
      </c>
      <c r="K17" s="183">
        <v>401</v>
      </c>
      <c r="L17" s="183">
        <v>579</v>
      </c>
      <c r="M17" s="183">
        <v>37</v>
      </c>
      <c r="N17" s="183">
        <v>201</v>
      </c>
      <c r="O17" s="183">
        <v>0</v>
      </c>
      <c r="P17" s="183">
        <v>6</v>
      </c>
      <c r="Q17" s="183">
        <v>5</v>
      </c>
      <c r="R17" s="183">
        <v>55</v>
      </c>
      <c r="S17" s="183">
        <v>138</v>
      </c>
      <c r="T17" s="183">
        <v>292</v>
      </c>
      <c r="U17" s="183">
        <v>285</v>
      </c>
      <c r="V17" s="183">
        <v>151</v>
      </c>
      <c r="W17" s="183">
        <v>33</v>
      </c>
      <c r="X17" s="189">
        <v>120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138</v>
      </c>
      <c r="AZ17" s="129">
        <f t="shared" si="14"/>
        <v>292</v>
      </c>
      <c r="BA17" s="129">
        <f t="shared" si="14"/>
        <v>285</v>
      </c>
      <c r="BB17" s="129">
        <f t="shared" si="14"/>
        <v>151</v>
      </c>
      <c r="BC17" s="125">
        <f>IF(ISNUMBER(W17),W17," - ")</f>
        <v>33</v>
      </c>
      <c r="BD17" s="126">
        <f>IF(ISNUMBER(BA17/AZ17),BA17/AZ17," - ")</f>
        <v>0.97602739726027399</v>
      </c>
      <c r="BE17" s="127">
        <f>IF(ISNUMBER(BB17/BA17),BB17/BA17, " - ")</f>
        <v>0.52982456140350875</v>
      </c>
      <c r="BF17" s="127">
        <f>IF(ISNUMBER(BC17/BA17),BC17/BA17, " - ")</f>
        <v>0.11578947368421053</v>
      </c>
      <c r="BG17" s="196">
        <f>IF(ISNUMBER((AY17+AZ17)/BA17),(AY17+AZ17)/BA17," - ")</f>
        <v>1.5087719298245614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4513</v>
      </c>
      <c r="J18" s="184">
        <f t="shared" si="15"/>
        <v>4692</v>
      </c>
      <c r="K18" s="184">
        <f t="shared" si="15"/>
        <v>4549</v>
      </c>
      <c r="L18" s="184">
        <f t="shared" si="15"/>
        <v>4613</v>
      </c>
      <c r="M18" s="184">
        <f t="shared" si="15"/>
        <v>476</v>
      </c>
      <c r="N18" s="184">
        <f t="shared" si="15"/>
        <v>2842</v>
      </c>
      <c r="O18" s="184">
        <f t="shared" si="15"/>
        <v>105</v>
      </c>
      <c r="P18" s="184">
        <f t="shared" si="15"/>
        <v>131</v>
      </c>
      <c r="Q18" s="184">
        <f t="shared" si="15"/>
        <v>128</v>
      </c>
      <c r="R18" s="184">
        <f t="shared" si="15"/>
        <v>403</v>
      </c>
      <c r="S18" s="184">
        <f t="shared" si="15"/>
        <v>4064</v>
      </c>
      <c r="T18" s="184">
        <f t="shared" si="15"/>
        <v>4932</v>
      </c>
      <c r="U18" s="184">
        <f t="shared" si="15"/>
        <v>4755</v>
      </c>
      <c r="V18" s="184">
        <f t="shared" si="15"/>
        <v>3988</v>
      </c>
      <c r="W18" s="184">
        <f t="shared" si="15"/>
        <v>419</v>
      </c>
      <c r="X18" s="184">
        <f t="shared" si="15"/>
        <v>3297</v>
      </c>
      <c r="Y18" s="184">
        <f t="shared" si="15"/>
        <v>0</v>
      </c>
      <c r="Z18" s="184">
        <f t="shared" si="15"/>
        <v>0</v>
      </c>
      <c r="AA18" s="184">
        <f t="shared" si="15"/>
        <v>0</v>
      </c>
      <c r="AB18" s="184">
        <f t="shared" si="15"/>
        <v>0</v>
      </c>
      <c r="AC18" s="184">
        <f t="shared" si="15"/>
        <v>0</v>
      </c>
      <c r="AD18" s="184">
        <f t="shared" si="15"/>
        <v>42</v>
      </c>
      <c r="AE18" s="184">
        <f t="shared" si="15"/>
        <v>42</v>
      </c>
      <c r="AF18" s="184">
        <f t="shared" si="15"/>
        <v>0</v>
      </c>
      <c r="AG18" s="184">
        <f t="shared" si="15"/>
        <v>0</v>
      </c>
      <c r="AH18" s="184">
        <f t="shared" si="15"/>
        <v>0</v>
      </c>
      <c r="AI18" s="184">
        <f t="shared" si="15"/>
        <v>0</v>
      </c>
      <c r="AJ18" s="184">
        <f t="shared" si="15"/>
        <v>0</v>
      </c>
      <c r="AK18" s="184">
        <f t="shared" si="15"/>
        <v>2</v>
      </c>
      <c r="AL18" s="184">
        <f t="shared" si="15"/>
        <v>48</v>
      </c>
      <c r="AM18" s="184">
        <f t="shared" si="15"/>
        <v>50</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4064</v>
      </c>
      <c r="AZ18" s="184">
        <f>SUBTOTAL(9,AZ14:AZ17)</f>
        <v>4932</v>
      </c>
      <c r="BA18" s="184">
        <f>SUBTOTAL(9,BA14:BA17)</f>
        <v>4755</v>
      </c>
      <c r="BB18" s="184">
        <f>SUBTOTAL(9,BB14:BB17)</f>
        <v>3988</v>
      </c>
      <c r="BC18" s="184">
        <f>SUBTOTAL(9,BC14:BC17)</f>
        <v>419</v>
      </c>
      <c r="BD18" s="205">
        <f>IF(ISNUMBER(BA18/AZ18),BA18/AZ18," - ")</f>
        <v>0.96411192214111918</v>
      </c>
      <c r="BE18" s="206">
        <f>IF(ISNUMBER(BB18/BA18),BB18/BA18, " - ")</f>
        <v>0.83869610935856997</v>
      </c>
      <c r="BF18" s="206">
        <f>IF(ISNUMBER(BC18/BA18),BC18/BA18, " - ")</f>
        <v>8.8117770767613041E-2</v>
      </c>
      <c r="BG18" s="207">
        <f>IF(ISNUMBER((AY18+AZ18)/BA18),(AY18+AZ18)/BA18," - ")</f>
        <v>1.8919032597266037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15705</v>
      </c>
      <c r="J19" s="134">
        <f t="shared" si="18"/>
        <v>8659</v>
      </c>
      <c r="K19" s="134">
        <f t="shared" si="18"/>
        <v>7355</v>
      </c>
      <c r="L19" s="134">
        <f t="shared" si="18"/>
        <v>16989</v>
      </c>
      <c r="M19" s="134">
        <f t="shared" si="18"/>
        <v>1206</v>
      </c>
      <c r="N19" s="134">
        <f t="shared" si="18"/>
        <v>4014</v>
      </c>
      <c r="O19" s="134">
        <f t="shared" si="18"/>
        <v>1502</v>
      </c>
      <c r="P19" s="134">
        <f t="shared" si="18"/>
        <v>881</v>
      </c>
      <c r="Q19" s="134">
        <f t="shared" si="18"/>
        <v>625</v>
      </c>
      <c r="R19" s="134">
        <f t="shared" si="18"/>
        <v>10921</v>
      </c>
      <c r="S19" s="134">
        <f t="shared" si="18"/>
        <v>14241</v>
      </c>
      <c r="T19" s="134">
        <f t="shared" si="18"/>
        <v>7441</v>
      </c>
      <c r="U19" s="134">
        <f t="shared" si="18"/>
        <v>7220</v>
      </c>
      <c r="V19" s="134">
        <f t="shared" si="18"/>
        <v>14189</v>
      </c>
      <c r="W19" s="134">
        <f t="shared" si="18"/>
        <v>1083</v>
      </c>
      <c r="X19" s="134">
        <f t="shared" si="18"/>
        <v>4104</v>
      </c>
      <c r="Y19" s="134">
        <f t="shared" si="18"/>
        <v>296</v>
      </c>
      <c r="Z19" s="134">
        <f t="shared" si="18"/>
        <v>143</v>
      </c>
      <c r="AA19" s="134">
        <f t="shared" si="18"/>
        <v>158</v>
      </c>
      <c r="AB19" s="134">
        <f t="shared" si="18"/>
        <v>289</v>
      </c>
      <c r="AC19" s="134">
        <f t="shared" si="18"/>
        <v>0</v>
      </c>
      <c r="AD19" s="134">
        <f t="shared" si="18"/>
        <v>42</v>
      </c>
      <c r="AE19" s="134">
        <f t="shared" si="18"/>
        <v>42</v>
      </c>
      <c r="AF19" s="134">
        <f t="shared" si="18"/>
        <v>0</v>
      </c>
      <c r="AG19" s="134">
        <f t="shared" si="18"/>
        <v>265</v>
      </c>
      <c r="AH19" s="134">
        <f t="shared" si="18"/>
        <v>126</v>
      </c>
      <c r="AI19" s="134">
        <f t="shared" si="18"/>
        <v>129</v>
      </c>
      <c r="AJ19" s="134">
        <f t="shared" si="18"/>
        <v>262</v>
      </c>
      <c r="AK19" s="134">
        <f t="shared" si="18"/>
        <v>2</v>
      </c>
      <c r="AL19" s="134">
        <f t="shared" si="18"/>
        <v>48</v>
      </c>
      <c r="AM19" s="134">
        <f t="shared" si="18"/>
        <v>50</v>
      </c>
      <c r="AN19" s="210">
        <f t="shared" si="18"/>
        <v>0</v>
      </c>
      <c r="AO19" s="211">
        <v>14</v>
      </c>
      <c r="AP19" s="211">
        <v>14</v>
      </c>
      <c r="AQ19" s="211">
        <v>14</v>
      </c>
      <c r="AR19" s="211">
        <v>14</v>
      </c>
      <c r="AS19" s="153">
        <f t="shared" si="18"/>
        <v>0</v>
      </c>
      <c r="AT19" s="153">
        <f t="shared" si="18"/>
        <v>0</v>
      </c>
      <c r="AU19" s="211"/>
      <c r="AV19" s="212"/>
      <c r="AW19" s="211"/>
      <c r="AX19" s="212"/>
      <c r="AY19" s="133">
        <f>SUBTOTAL(9,AY9:AY18)</f>
        <v>14506</v>
      </c>
      <c r="AZ19" s="134">
        <f>SUBTOTAL(9,AZ9:AZ18)</f>
        <v>7567</v>
      </c>
      <c r="BA19" s="134">
        <f>SUBTOTAL(9,BA9:BA18)</f>
        <v>7349</v>
      </c>
      <c r="BB19" s="134">
        <f>SUBTOTAL(9,BB9:BB18)</f>
        <v>14451</v>
      </c>
      <c r="BC19" s="135">
        <f>SUBTOTAL(9,BC9:BC18)</f>
        <v>1220</v>
      </c>
      <c r="BD19" s="213">
        <f>IF(ISNUMBER(BA19/AZ19),BA19/AZ19," - ")</f>
        <v>0.97119069644509048</v>
      </c>
      <c r="BE19" s="210">
        <f>IF(ISNUMBER(BB19/BA19),BB19/BA19, " - ")</f>
        <v>1.966389985031977</v>
      </c>
      <c r="BF19" s="210">
        <f>IF(ISNUMBER(BC19/BA19),BC19/BA19, " - ")</f>
        <v>0.16600898081371615</v>
      </c>
      <c r="BG19" s="135">
        <f>IF(ISNUMBER((AY19+AZ19)/BA19),(AY19+AZ19)/BA19," - ")</f>
        <v>3.0035378963124235</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1l2ynEeU/qWZ621vf6RxqkTC1b2/xQPQrQNUf9cA41Map2Rhe6OtfarcK6FOzcKAcJOD7n1FQD6wwq07Vpyw==" saltValue="sRtvUERjn655yXgsfTDN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QcGOnvzXXz5vz8mQMZQKL8KAHhsyVIRaGiENcyQzCgqu3uXKeqnnjPSxkpsYx7TvMZDrPa0BR2Qk3M+8CUo/Q==" saltValue="K8lfW7ooLRfqzbTBlXSt9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MARBELLA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143</v>
      </c>
      <c r="O9" s="334"/>
      <c r="P9" s="334"/>
      <c r="Q9" s="226">
        <f>IF(ISNUMBER(Datos!P9),Datos!P9,0)</f>
        <v>732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481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289</v>
      </c>
      <c r="AI9" s="334" t="str">
        <f>IF(ISNUMBER(Datos!CD9),Datos!CD9,"-")</f>
        <v>-</v>
      </c>
      <c r="AJ9" s="334" t="str">
        <f>IF(ISNUMBER(Datos!EN9),Datos!EN9," - ")</f>
        <v xml:space="preserve"> - </v>
      </c>
      <c r="AK9" s="334"/>
      <c r="AL9" s="479"/>
      <c r="AM9" s="335">
        <f>IF(ISNUMBER(Datos!R9),Datos!R9," - ")</f>
        <v>10469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713</v>
      </c>
      <c r="BD9" s="229">
        <f>IF(ISNUMBER(Datos!N9),Datos!N9," - ")</f>
        <v>1151</v>
      </c>
      <c r="BE9" s="229" t="str">
        <f>IF(ISNUMBER(Datos!BW9),Datos!BW9," - ")</f>
        <v xml:space="preserve"> - </v>
      </c>
      <c r="BF9" s="228" t="str">
        <f>IF(ISNUMBER(Datos!BX9),Datos!BX9," - ")</f>
        <v xml:space="preserve"> - </v>
      </c>
      <c r="BG9" s="243">
        <f>IF(ISNUMBER(IF(J_V="SI",Datos!K9/Datos!J9,(Datos!K9+Datos!AA9)/(Datos!J9+Datos!Z9))),IF(J_V="SI",Datos!K9/Datos!J9,(Datos!K9+Datos!AA9)/(Datos!J9+Datos!Z9))," - ")</f>
        <v>0.71966527196652719</v>
      </c>
      <c r="BH9" s="260">
        <f>IF(ISNUMBER(((IF(J_V="SI",Datos!L9/Datos!K9,(Datos!L9+Datos!AB9)/(Datos!K9+Datos!AA9)))*11)/factor_trimestre),((IF(J_V="SI",Datos!L9/Datos!K9,(Datos!L9+Datos!AB9)/(Datos!K9+Datos!AA9)))*11)/factor_trimestre," - ")</f>
        <v>12.893638850889195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2.4564494030142884E-2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91</v>
      </c>
      <c r="G10" s="333">
        <f>IF(ISNUMBER(Datos!I10),Datos!I10," - ")</f>
        <v>68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40</v>
      </c>
      <c r="AC10" s="226">
        <f>IF(ISNUMBER(Datos!Q10),Datos!Q10," - ")</f>
        <v>16</v>
      </c>
      <c r="AD10" s="334"/>
      <c r="AE10" s="484"/>
      <c r="AF10" s="332">
        <f>IF(ISNUMBER(Datos!L10),Datos!L10,"-")</f>
        <v>98</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21</v>
      </c>
      <c r="BE10" s="229" t="str">
        <f>IF(ISNUMBER(Datos!BW10),Datos!BW10," - ")</f>
        <v xml:space="preserve"> - </v>
      </c>
      <c r="BF10" s="228" t="str">
        <f>IF(ISNUMBER(Datos!BX10),Datos!BX10," - ")</f>
        <v xml:space="preserve"> - </v>
      </c>
      <c r="BG10" s="243">
        <f>IF(ISNUMBER(Datos!K10/Datos!J10),Datos!K10/Datos!J10," - ")</f>
        <v>0.85106382978723405</v>
      </c>
      <c r="BH10" s="260">
        <f>IF(ISNUMBER(((Datos!L10/Datos!K10)*11)/factor_trimestre),((Datos!L10/Datos!K10)*11)/factor_trimestre," - ")</f>
        <v>7.3500000000000014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4.2553191489361701E-2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91</v>
      </c>
      <c r="G13" s="898">
        <f t="shared" si="0"/>
        <v>68</v>
      </c>
      <c r="H13" s="899">
        <f t="shared" si="0"/>
        <v>0</v>
      </c>
      <c r="I13" s="898">
        <f t="shared" si="0"/>
        <v>0</v>
      </c>
      <c r="J13" s="867">
        <f t="shared" si="0"/>
        <v>0</v>
      </c>
      <c r="K13" s="867">
        <f t="shared" si="0"/>
        <v>0</v>
      </c>
      <c r="L13" s="899">
        <f t="shared" si="0"/>
        <v>0</v>
      </c>
      <c r="M13" s="899">
        <f t="shared" si="0"/>
        <v>0</v>
      </c>
      <c r="N13" s="899">
        <f t="shared" si="0"/>
        <v>143</v>
      </c>
      <c r="O13" s="900">
        <f t="shared" si="0"/>
        <v>0</v>
      </c>
      <c r="P13" s="900">
        <f t="shared" si="0"/>
        <v>0</v>
      </c>
      <c r="Q13" s="899">
        <f t="shared" si="0"/>
        <v>750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40</v>
      </c>
      <c r="AC13" s="899">
        <f t="shared" si="1"/>
        <v>497</v>
      </c>
      <c r="AD13" s="899">
        <f t="shared" si="1"/>
        <v>0</v>
      </c>
      <c r="AE13" s="899">
        <f t="shared" si="1"/>
        <v>0</v>
      </c>
      <c r="AF13" s="899">
        <f t="shared" si="1"/>
        <v>98</v>
      </c>
      <c r="AG13" s="899">
        <f t="shared" si="1"/>
        <v>0</v>
      </c>
      <c r="AH13" s="899">
        <f t="shared" si="1"/>
        <v>289</v>
      </c>
      <c r="AI13" s="899">
        <f t="shared" si="1"/>
        <v>0</v>
      </c>
      <c r="AJ13" s="899">
        <f t="shared" si="1"/>
        <v>0</v>
      </c>
      <c r="AK13" s="899">
        <f t="shared" si="1"/>
        <v>0</v>
      </c>
      <c r="AL13" s="899">
        <f t="shared" si="1"/>
        <v>0</v>
      </c>
      <c r="AM13" s="899">
        <f t="shared" si="1"/>
        <v>10518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730</v>
      </c>
      <c r="BD13" s="899">
        <f t="shared" si="1"/>
        <v>1172</v>
      </c>
      <c r="BE13" s="899">
        <f t="shared" si="1"/>
        <v>0</v>
      </c>
      <c r="BF13" s="899">
        <f t="shared" si="1"/>
        <v>0</v>
      </c>
      <c r="BG13" s="899">
        <f>IF(ISNUMBER(Datos!K13/Datos!J13),Datos!K13/Datos!J13," - ")</f>
        <v>0.70733551802369554</v>
      </c>
      <c r="BH13" s="903">
        <f>IF(ISNUMBER(((Datos!L13/Datos!K13)*11)/factor_trimestre),((Datos!L13/Datos!K13)*11)/factor_trimestre," - ")</f>
        <v>13.231646471846043</v>
      </c>
      <c r="BI13" s="899">
        <f>IF(ISNUMBER('Resol  Asuntos'!D13/NºAsuntos!G13),'Resol  Asuntos'!D13/NºAsuntos!G13," - ")</f>
        <v>0.24628879892037786</v>
      </c>
      <c r="BJ13" s="899" t="str">
        <f>IF(ISNUMBER(Datos!CI13/Datos!CJ13),Datos!CI13/Datos!CJ13," - ")</f>
        <v xml:space="preserve"> - </v>
      </c>
      <c r="BK13" s="899">
        <f>SUBTOTAL(9,BK8:BK12)</f>
        <v>0</v>
      </c>
      <c r="BL13" s="899">
        <f>IF(ISNUMBER((I13-AB13+L13)/(F13)),(I13-AB13+L13)/(F13)," - ")</f>
        <v>-0.43956043956043955</v>
      </c>
      <c r="BM13" s="904">
        <f>SUBTOTAL(9,BM9:BM12)</f>
        <v>6.7117685519504588E-2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4108</v>
      </c>
      <c r="G15" s="598">
        <f>IF(ISNUMBER(IF(D_I="SI",Datos!I15,Datos!I15+Datos!AC15)),IF(D_I="SI",Datos!I15,Datos!I15+Datos!AC15)," - ")</f>
        <v>4164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125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4148</v>
      </c>
      <c r="AC15" s="226">
        <f>IF(ISNUMBER(Datos!Q15),Datos!Q15," - ")</f>
        <v>123</v>
      </c>
      <c r="AD15" s="334"/>
      <c r="AE15" s="484"/>
      <c r="AF15" s="596">
        <f>IF(ISNUMBER(IF(D_I="SI",Datos!L15,Datos!L15+Datos!AF15)),IF(D_I="SI",Datos!L15,Datos!L15+Datos!AF15)," - ")</f>
        <v>4034</v>
      </c>
      <c r="AG15" s="334"/>
      <c r="AH15" s="334"/>
      <c r="AI15" s="334"/>
      <c r="AJ15" s="334"/>
      <c r="AK15" s="334"/>
      <c r="AL15" s="479"/>
      <c r="AM15" s="335">
        <f>IF(ISNUMBER(Datos!R15),Datos!R15," - ")</f>
        <v>348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439</v>
      </c>
      <c r="BD15" s="229">
        <f>IF(ISNUMBER(Datos!N15),Datos!N15," - ")</f>
        <v>2641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1.0181639666175748</v>
      </c>
      <c r="BH15" s="260">
        <f>IF(ISNUMBER(((IF(D_I="SI",Datos!L15/Datos!K15,(Datos!L15+Datos!AF15)/(Datos!K15+Datos!AE15)))*11)/factor_trimestre),((IF(D_I="SI",Datos!L15/Datos!K15,(Datos!L15+Datos!AF15)/(Datos!K15+Datos!AE15)))*11)/factor_trimestre," - ")</f>
        <v>2.9175506268081004</v>
      </c>
      <c r="BI15" s="243">
        <f>IF(ISNUMBER('Resol  Asuntos'!D15/NºAsuntos!G15),'Resol  Asuntos'!D15/NºAsuntos!G15," - ")</f>
        <v>0.10583413693346191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401</v>
      </c>
      <c r="AC17" s="226">
        <f>IF(ISNUMBER(Datos!Q17),Datos!Q17," - ")</f>
        <v>5</v>
      </c>
      <c r="AD17" s="334"/>
      <c r="AE17" s="484"/>
      <c r="AF17" s="332">
        <f>IF(ISNUMBER(Datos!L17),Datos!L17,"-")</f>
        <v>579</v>
      </c>
      <c r="AG17" s="334"/>
      <c r="AH17" s="334"/>
      <c r="AI17" s="334"/>
      <c r="AJ17" s="334"/>
      <c r="AK17" s="334"/>
      <c r="AL17" s="479"/>
      <c r="AM17" s="335">
        <f>IF(ISNUMBER(Datos!R17),Datos!R17," - ")</f>
        <v>55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37</v>
      </c>
      <c r="BD17" s="229">
        <f>IF(ISNUMBER(Datos!N17),Datos!N17," - ")</f>
        <v>201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0.64886731391585761</v>
      </c>
      <c r="BH17" s="260">
        <f>IF(ISNUMBER(((IF(D_I="SI",Datos!L17/Datos!K17,(Datos!L17+Datos!AF17)/(Datos!K17+Datos!AE17)))*11)/factor_trimestre),((IF(D_I="SI",Datos!L17/Datos!K17,(Datos!L17+Datos!AF17)/(Datos!K17+Datos!AE17)))*11)/factor_trimestre," - ")</f>
        <v>4.3316708229426437</v>
      </c>
      <c r="BI17" s="243">
        <f>IF(ISNUMBER('Resol  Asuntos'!D17/NºAsuntos!G17),'Resol  Asuntos'!D17/NºAsuntos!G17," - ")</f>
        <v>9.2269326683291769E-2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4108</v>
      </c>
      <c r="G18" s="898">
        <f>SUBTOTAL(9,G15:G17)</f>
        <v>4513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4549</v>
      </c>
      <c r="AC18" s="899">
        <f t="shared" si="4"/>
        <v>128</v>
      </c>
      <c r="AD18" s="899">
        <f t="shared" si="4"/>
        <v>0</v>
      </c>
      <c r="AE18" s="899">
        <f t="shared" si="4"/>
        <v>0</v>
      </c>
      <c r="AF18" s="899">
        <f t="shared" si="4"/>
        <v>4613</v>
      </c>
      <c r="AG18" s="899">
        <f t="shared" si="4"/>
        <v>0</v>
      </c>
      <c r="AH18" s="899">
        <f t="shared" si="4"/>
        <v>0</v>
      </c>
      <c r="AI18" s="899">
        <f t="shared" si="4"/>
        <v>0</v>
      </c>
      <c r="AJ18" s="899">
        <f t="shared" si="4"/>
        <v>0</v>
      </c>
      <c r="AK18" s="899">
        <f t="shared" si="4"/>
        <v>0</v>
      </c>
      <c r="AL18" s="899">
        <f t="shared" si="4"/>
        <v>0</v>
      </c>
      <c r="AM18" s="899">
        <f t="shared" si="4"/>
        <v>403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476</v>
      </c>
      <c r="BD18" s="899">
        <f t="shared" si="4"/>
        <v>2842</v>
      </c>
      <c r="BE18" s="899">
        <f t="shared" si="4"/>
        <v>0</v>
      </c>
      <c r="BF18" s="899">
        <f t="shared" si="4"/>
        <v>0</v>
      </c>
      <c r="BG18" s="899">
        <f>IF(ISNUMBER(Datos!K18/Datos!J18),Datos!K18/Datos!J18," - ")</f>
        <v>0.96952259164535382</v>
      </c>
      <c r="BH18" s="903">
        <f>IF(ISNUMBER(((Datos!L18/Datos!K18)*11)/factor_trimestre),((Datos!L18/Datos!K18)*11)/factor_trimestre," - ")</f>
        <v>3.0422070784787865</v>
      </c>
      <c r="BI18" s="899">
        <f>SUBTOTAL(9,BI15:BI17)</f>
        <v>0.19810346361675368</v>
      </c>
      <c r="BJ18" s="899">
        <f>SUBTOTAL(9,BJ15:BJ17)</f>
        <v>0</v>
      </c>
      <c r="BK18" s="899">
        <f>SUBTOTAL(9,BK15:BK17)</f>
        <v>0</v>
      </c>
      <c r="BL18" s="899">
        <f>IF(ISNUMBER((I18-AB18+L18)/(F18)),(I18-AB18+L18)/(F18)," - ")</f>
        <v>-1.1073515092502435</v>
      </c>
      <c r="BM18" s="905">
        <f>IF(ISNUMBER((Datos!P18-Datos!Q18)/(Datos!R18-Datos!P18+Datos!Q18)),(Datos!P18-Datos!Q18)/(Datos!R18-Datos!P18+Datos!Q18)," - ")</f>
        <v>7.4999999999999997E-3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4199</v>
      </c>
      <c r="G19" s="820">
        <f t="shared" si="6"/>
        <v>4581</v>
      </c>
      <c r="H19" s="822">
        <f t="shared" si="6"/>
        <v>0</v>
      </c>
      <c r="I19" s="820">
        <f t="shared" si="6"/>
        <v>0</v>
      </c>
      <c r="J19" s="822">
        <f t="shared" si="6"/>
        <v>0</v>
      </c>
      <c r="K19" s="822">
        <f t="shared" si="6"/>
        <v>0</v>
      </c>
      <c r="L19" s="881">
        <f t="shared" si="6"/>
        <v>0</v>
      </c>
      <c r="M19" s="881">
        <f t="shared" si="6"/>
        <v>0</v>
      </c>
      <c r="N19" s="881">
        <f t="shared" si="6"/>
        <v>143</v>
      </c>
      <c r="O19" s="881">
        <f t="shared" si="6"/>
        <v>0</v>
      </c>
      <c r="P19" s="881">
        <f t="shared" si="6"/>
        <v>0</v>
      </c>
      <c r="Q19" s="822">
        <f t="shared" si="6"/>
        <v>881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4589</v>
      </c>
      <c r="AC19" s="821">
        <f t="shared" si="7"/>
        <v>625</v>
      </c>
      <c r="AD19" s="821">
        <f t="shared" si="7"/>
        <v>0</v>
      </c>
      <c r="AE19" s="821">
        <f t="shared" si="7"/>
        <v>0</v>
      </c>
      <c r="AF19" s="828">
        <f t="shared" si="7"/>
        <v>4711</v>
      </c>
      <c r="AG19" s="828">
        <f t="shared" si="7"/>
        <v>0</v>
      </c>
      <c r="AH19" s="828">
        <f t="shared" si="7"/>
        <v>289</v>
      </c>
      <c r="AI19" s="828">
        <f t="shared" si="7"/>
        <v>0</v>
      </c>
      <c r="AJ19" s="821">
        <f t="shared" si="7"/>
        <v>0</v>
      </c>
      <c r="AK19" s="828">
        <f t="shared" si="7"/>
        <v>0</v>
      </c>
      <c r="AL19" s="828">
        <f t="shared" si="7"/>
        <v>0</v>
      </c>
      <c r="AM19" s="828">
        <f t="shared" si="7"/>
        <v>10921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1206</v>
      </c>
      <c r="BD19" s="820">
        <f t="shared" si="7"/>
        <v>4014</v>
      </c>
      <c r="BE19" s="820">
        <f t="shared" si="7"/>
        <v>0</v>
      </c>
      <c r="BF19" s="830">
        <f t="shared" si="7"/>
        <v>0</v>
      </c>
      <c r="BG19" s="915">
        <f>IF(ISNUMBER(Datos!K19/Datos!J19),Datos!K19/Datos!J19," - ")</f>
        <v>0.84940524309966514</v>
      </c>
      <c r="BH19" s="915">
        <f>IF(ISNUMBER(((Datos!L19/Datos!K19)*11)/factor_trimestre),((Datos!L19/Datos!K19)*11)/factor_trimestre," - ")</f>
        <v>6.9295717199184219</v>
      </c>
      <c r="BI19" s="813">
        <f>IF(ISNUMBER(Datos!J19/Datos!I19),Datos!J19/Datos!I19," - ")</f>
        <v>0.55135307226997776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-1.0928792569659442</v>
      </c>
      <c r="BM19" s="889">
        <f>IF(ISNUMBER((Datos!P19-Datos!Q19+R19)/(Datos!R19-Datos!P19+Datos!Q19-R19)),(Datos!P19-Datos!Q19+R19)/(Datos!R19-Datos!P19+Datos!Q19-R19)," - ")</f>
        <v>2.4003750586029066E-2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1832.4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3.6742346141747673</v>
      </c>
      <c r="F21" s="551">
        <f>IF(ISNUMBER(STDEV(F8:F18)),STDEV(F8:F18),"-")</f>
        <v>2319.2160313347267</v>
      </c>
      <c r="G21" s="552">
        <f>IF(ISNUMBER(STDEV(G8:G18)),STDEV(G8:G18),"-")</f>
        <v>2293.941215463029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2303.0506507673686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313.87895756166898</v>
      </c>
      <c r="BD21" s="551"/>
      <c r="BE21" s="551">
        <f>IF(ISNUMBER(STDEV(BE8:BE18)),STDEV(BE8:BE18),"-")</f>
        <v>0</v>
      </c>
      <c r="BF21" s="556">
        <f>IF(ISNUMBER(STDEV(BF8:BF18)),STDEV(BF8:BF18),"-")</f>
        <v>0</v>
      </c>
      <c r="BG21" s="775">
        <f>IF(ISNUMBER(STDEV(BG8:BG18)),STDEV(BG8:BG18),"-")</f>
        <v>0.15141521536651995</v>
      </c>
      <c r="BH21" s="776">
        <f>IF(ISNUMBER(STDEV(BH8:BH18)),STDEV(BH8:BH18),"-")</f>
        <v>4.7459705429842396</v>
      </c>
      <c r="BI21" s="249">
        <f>IF(ISNUMBER(STDEV(BI8:BI18)),STDEV(BI8:BI18),"-")</f>
        <v>7.3976253906537379E-2</v>
      </c>
      <c r="BJ21" s="230" t="str">
        <f>IF(ISNUMBER(BL21/BM21),BL21/BM21," - ")</f>
        <v xml:space="preserve"> - </v>
      </c>
      <c r="BK21" s="575"/>
      <c r="BL21" s="559">
        <f>IF(ISNUMBER(STDEV(BL8:BL18)),STDEV(BL8:BL18),"-")</f>
        <v>0.47219959379347848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9Vx/cLDLhHwkq7nRh9qouGiHlJNoeREI2qNCYAeOdTp2H1Gerg+rbjFZcDxlil1qLksLK4BMk6pflP7qakJGog==" saltValue="CJlFlkNct0GdsmMyq4B7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MARBELLA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732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481</v>
      </c>
      <c r="AA9" s="332" t="str">
        <f>IF(ISNUMBER(IF(J_V="SI",Datos!L9,Datos!L9+Datos!AB9)-IF(Monitorios="SI",Datos!CD9,0)),
                          IF(J_V="SI",Datos!L9,Datos!L9+Datos!AB9)-IF(Monitorios="SI",Datos!CD9,0),
                          " - ")</f>
        <v xml:space="preserve"> - </v>
      </c>
      <c r="AB9" s="334"/>
      <c r="AC9" s="334"/>
      <c r="AD9" s="484"/>
      <c r="AE9" s="484">
        <f>IF(ISNUMBER(Datos!R9),Datos!R9," - ")</f>
        <v>10469</v>
      </c>
      <c r="AF9" s="229" t="str">
        <f>IF(ISNUMBER(Datos!BV9),Datos!BV9," - ")</f>
        <v xml:space="preserve"> - </v>
      </c>
      <c r="AG9" s="225" t="str">
        <f>IF(ISNUMBER(Datos!DV9),Datos!DV9," - ")</f>
        <v xml:space="preserve"> - </v>
      </c>
      <c r="AH9" s="298"/>
      <c r="AI9" s="227"/>
      <c r="AJ9" s="225">
        <f>IF(ISNUMBER(Datos!M9),Datos!M9," - ")</f>
        <v>713</v>
      </c>
      <c r="AK9" s="229">
        <f>IF(ISNUMBER(Datos!N9),Datos!N9," - ")</f>
        <v>1151</v>
      </c>
      <c r="AL9" s="229" t="str">
        <f>IF(ISNUMBER(Datos!BW9),Datos!BW9," - ")</f>
        <v xml:space="preserve"> - </v>
      </c>
      <c r="AM9" s="228" t="str">
        <f>IF(ISNUMBER(Datos!BX9),Datos!BX9," - ")</f>
        <v xml:space="preserve"> - </v>
      </c>
      <c r="AN9" s="243"/>
      <c r="AO9" s="260">
        <f>IF(ISNUMBER(((NºAsuntos!I9/NºAsuntos!G9)*11)/factor_trimestre),((NºAsuntos!I9/NºAsuntos!G9)*11)/factor_trimestre," - ")</f>
        <v>12.893638850889195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2.4564494030142884E-2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91</v>
      </c>
      <c r="G10" s="225">
        <f>IF(ISNUMBER(Datos!I10),Datos!I10," - ")</f>
        <v>68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40</v>
      </c>
      <c r="Z10" s="619">
        <f>IF(ISNUMBER(Datos!Q10),Datos!Q10," - ")</f>
        <v>16</v>
      </c>
      <c r="AA10" s="332">
        <f>IF(ISNUMBER(Datos!L10),Datos!L10,"-")</f>
        <v>98</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17</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7.3500000000000014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4.2553191489361701E-2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91</v>
      </c>
      <c r="G13" s="898">
        <f>SUBTOTAL(9,G8:G12)</f>
        <v>68</v>
      </c>
      <c r="H13" s="908"/>
      <c r="I13" s="898">
        <f t="shared" ref="I13:N13" si="0">SUBTOTAL(9,I8:I12)</f>
        <v>0</v>
      </c>
      <c r="J13" s="867">
        <f t="shared" si="0"/>
        <v>0</v>
      </c>
      <c r="K13" s="908">
        <f t="shared" si="0"/>
        <v>0</v>
      </c>
      <c r="L13" s="908">
        <f t="shared" si="0"/>
        <v>0</v>
      </c>
      <c r="M13" s="908">
        <f t="shared" si="0"/>
        <v>0</v>
      </c>
      <c r="N13" s="908">
        <f t="shared" si="0"/>
        <v>750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40</v>
      </c>
      <c r="Z13" s="907">
        <f t="shared" si="2"/>
        <v>497</v>
      </c>
      <c r="AA13" s="900">
        <f t="shared" si="2"/>
        <v>98</v>
      </c>
      <c r="AB13" s="900">
        <f t="shared" si="2"/>
        <v>0</v>
      </c>
      <c r="AC13" s="900">
        <f t="shared" si="2"/>
        <v>0</v>
      </c>
      <c r="AD13" s="900">
        <f t="shared" si="2"/>
        <v>0</v>
      </c>
      <c r="AE13" s="900">
        <f t="shared" si="2"/>
        <v>10518</v>
      </c>
      <c r="AF13" s="908">
        <f t="shared" si="2"/>
        <v>0</v>
      </c>
      <c r="AG13" s="908">
        <f t="shared" si="2"/>
        <v>0</v>
      </c>
      <c r="AH13" s="908">
        <f t="shared" si="2"/>
        <v>0</v>
      </c>
      <c r="AI13" s="908">
        <f t="shared" si="2"/>
        <v>0</v>
      </c>
      <c r="AJ13" s="908">
        <f t="shared" si="2"/>
        <v>730</v>
      </c>
      <c r="AK13" s="908">
        <f t="shared" si="2"/>
        <v>1172</v>
      </c>
      <c r="AL13" s="908">
        <f t="shared" si="2"/>
        <v>0</v>
      </c>
      <c r="AM13" s="908">
        <f t="shared" si="2"/>
        <v>0</v>
      </c>
      <c r="AN13" s="908">
        <f t="shared" si="2"/>
        <v>0</v>
      </c>
      <c r="AO13" s="904">
        <f>IF(ISNUMBER(((NºAsuntos!I13/NºAsuntos!G13)*11)/factor_trimestre),((NºAsuntos!I13/NºAsuntos!G13)*11)/factor_trimestre," - ")</f>
        <v>12.818825910931174</v>
      </c>
      <c r="AP13" s="910" t="str">
        <f>IF(ISNUMBER(Datos!CI13/Datos!CJ13),Datos!CI13/Datos!CJ13," - ")</f>
        <v xml:space="preserve"> - </v>
      </c>
      <c r="AQ13" s="928">
        <f t="shared" ref="AQ13:AV13" si="3">SUBTOTAL(9,AQ9:AQ12)</f>
        <v>0</v>
      </c>
      <c r="AR13" s="928">
        <f t="shared" si="3"/>
        <v>6.7117685519504588E-2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4108</v>
      </c>
      <c r="G15" s="225">
        <f>IF(ISNUMBER(IF(D_I="SI",Datos!I15,Datos!I15+Datos!AC15)),IF(D_I="SI",Datos!I15,Datos!I15+Datos!AC15)," - ")</f>
        <v>4164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125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4148</v>
      </c>
      <c r="Z15" s="619">
        <f>IF(ISNUMBER(Datos!Q15),Datos!Q15," - ")</f>
        <v>123</v>
      </c>
      <c r="AA15" s="332">
        <f>IF(ISNUMBER(IF(D_I="SI",Datos!L15,Datos!L15+Datos!AF15)),IF(D_I="SI",Datos!L15,Datos!L15+Datos!AF15)," - ")</f>
        <v>4034</v>
      </c>
      <c r="AB15" s="334"/>
      <c r="AC15" s="334"/>
      <c r="AD15" s="484"/>
      <c r="AE15" s="484">
        <f>IF(ISNUMBER(Datos!R15),Datos!R15," - ")</f>
        <v>348</v>
      </c>
      <c r="AF15" s="229" t="str">
        <f>IF(ISNUMBER(Datos!BV15),Datos!BV15," - ")</f>
        <v xml:space="preserve"> - </v>
      </c>
      <c r="AG15" s="225"/>
      <c r="AH15" s="298"/>
      <c r="AI15" s="227"/>
      <c r="AJ15" s="225">
        <f>IF(ISNUMBER(Datos!M15),Datos!M15," - ")</f>
        <v>439</v>
      </c>
      <c r="AK15" s="229">
        <f>IF(ISNUMBER(Datos!N15),Datos!N15," - ")</f>
        <v>2641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2.9175506268081004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401</v>
      </c>
      <c r="Z17" s="619">
        <f>IF(ISNUMBER(Datos!Q17),Datos!Q17," - ")</f>
        <v>5</v>
      </c>
      <c r="AA17" s="332">
        <f>IF(ISNUMBER(Datos!L17),Datos!L17,"-")</f>
        <v>579</v>
      </c>
      <c r="AB17" s="334"/>
      <c r="AC17" s="334"/>
      <c r="AD17" s="484"/>
      <c r="AE17" s="484">
        <f>IF(ISNUMBER(Datos!R17),Datos!R17," - ")</f>
        <v>55</v>
      </c>
      <c r="AF17" s="229" t="str">
        <f>IF(ISNUMBER(Datos!BV17),Datos!BV17," - ")</f>
        <v xml:space="preserve"> - </v>
      </c>
      <c r="AG17" s="225" t="str">
        <f>IF(ISNUMBER(Datos!DV17),Datos!DV17," - ")</f>
        <v xml:space="preserve"> - </v>
      </c>
      <c r="AH17" s="298"/>
      <c r="AI17" s="227"/>
      <c r="AJ17" s="225">
        <f>IF(ISNUMBER(Datos!M17),Datos!M17," - ")</f>
        <v>37</v>
      </c>
      <c r="AK17" s="229">
        <f>IF(ISNUMBER(Datos!N17),Datos!N17," - ")</f>
        <v>201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4.3316708229426437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4108</v>
      </c>
      <c r="G18" s="898">
        <f>SUBTOTAL(9,G15:G17)</f>
        <v>4513</v>
      </c>
      <c r="H18" s="932">
        <f>SUBTOTAL(9,H15:H17)</f>
        <v>0</v>
      </c>
      <c r="I18" s="911">
        <f>SUBTOTAL(9,I15:I17)</f>
        <v>0</v>
      </c>
      <c r="J18" s="867">
        <f>SUBTOTAL(9,J14:J17)</f>
        <v>0</v>
      </c>
      <c r="K18" s="932">
        <f t="shared" ref="K18:S18" si="4">SUBTOTAL(9,K15:K17)</f>
        <v>0</v>
      </c>
      <c r="L18" s="932">
        <f t="shared" si="4"/>
        <v>0</v>
      </c>
      <c r="M18" s="932">
        <f t="shared" si="4"/>
        <v>0</v>
      </c>
      <c r="N18" s="932">
        <f t="shared" si="4"/>
        <v>131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4549</v>
      </c>
      <c r="Z18" s="932">
        <f t="shared" si="5"/>
        <v>128</v>
      </c>
      <c r="AA18" s="932">
        <f t="shared" si="5"/>
        <v>4613</v>
      </c>
      <c r="AB18" s="932">
        <f t="shared" si="5"/>
        <v>0</v>
      </c>
      <c r="AC18" s="932">
        <f t="shared" si="5"/>
        <v>0</v>
      </c>
      <c r="AD18" s="932">
        <f t="shared" si="5"/>
        <v>0</v>
      </c>
      <c r="AE18" s="932">
        <f t="shared" si="5"/>
        <v>403</v>
      </c>
      <c r="AF18" s="932">
        <f t="shared" si="5"/>
        <v>0</v>
      </c>
      <c r="AG18" s="932">
        <f t="shared" si="5"/>
        <v>0</v>
      </c>
      <c r="AH18" s="932">
        <f t="shared" si="5"/>
        <v>0</v>
      </c>
      <c r="AI18" s="932">
        <f t="shared" si="5"/>
        <v>0</v>
      </c>
      <c r="AJ18" s="932">
        <f t="shared" si="5"/>
        <v>476</v>
      </c>
      <c r="AK18" s="932">
        <f t="shared" si="5"/>
        <v>2842</v>
      </c>
      <c r="AL18" s="932">
        <f t="shared" si="5"/>
        <v>0</v>
      </c>
      <c r="AM18" s="932">
        <f t="shared" si="5"/>
        <v>0</v>
      </c>
      <c r="AN18" s="932">
        <f t="shared" si="5"/>
        <v>0</v>
      </c>
      <c r="AO18" s="934">
        <f>IF(ISNUMBER(((NºAsuntos!I18/NºAsuntos!G18)*11)/factor_trimestre),((NºAsuntos!I18/NºAsuntos!G18)*11)/factor_trimestre," - ")</f>
        <v>3.0422070784787865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4199</v>
      </c>
      <c r="G19" s="820">
        <f t="shared" si="7"/>
        <v>4581</v>
      </c>
      <c r="H19" s="821">
        <f t="shared" si="7"/>
        <v>0</v>
      </c>
      <c r="I19" s="820">
        <f t="shared" si="7"/>
        <v>0</v>
      </c>
      <c r="J19" s="822">
        <f t="shared" si="7"/>
        <v>0</v>
      </c>
      <c r="K19" s="820">
        <f t="shared" si="7"/>
        <v>0</v>
      </c>
      <c r="L19" s="823">
        <f t="shared" si="7"/>
        <v>0</v>
      </c>
      <c r="M19" s="820">
        <f t="shared" si="7"/>
        <v>0</v>
      </c>
      <c r="N19" s="821">
        <f t="shared" si="7"/>
        <v>881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4589</v>
      </c>
      <c r="Z19" s="827">
        <f t="shared" si="8"/>
        <v>625</v>
      </c>
      <c r="AA19" s="828">
        <f t="shared" si="8"/>
        <v>4711</v>
      </c>
      <c r="AB19" s="828">
        <f t="shared" si="8"/>
        <v>0</v>
      </c>
      <c r="AC19" s="828">
        <f t="shared" si="8"/>
        <v>0</v>
      </c>
      <c r="AD19" s="829">
        <f t="shared" si="8"/>
        <v>0</v>
      </c>
      <c r="AE19" s="829">
        <f t="shared" si="8"/>
        <v>10921</v>
      </c>
      <c r="AF19" s="830">
        <f t="shared" si="8"/>
        <v>0</v>
      </c>
      <c r="AG19" s="831">
        <f t="shared" si="8"/>
        <v>0</v>
      </c>
      <c r="AH19" s="832">
        <f t="shared" si="8"/>
        <v>0</v>
      </c>
      <c r="AI19" s="830">
        <f t="shared" si="8"/>
        <v>0</v>
      </c>
      <c r="AJ19" s="820">
        <f t="shared" si="8"/>
        <v>1206</v>
      </c>
      <c r="AK19" s="820">
        <f t="shared" si="8"/>
        <v>4014</v>
      </c>
      <c r="AL19" s="820">
        <f t="shared" si="8"/>
        <v>0</v>
      </c>
      <c r="AM19" s="833">
        <f t="shared" si="8"/>
        <v>0</v>
      </c>
      <c r="AN19" s="823">
        <f>IF(ISNUMBER(Datos!K19/Datos!J19),Datos!K19/Datos!J19," - ")</f>
        <v>0.84940524309966514</v>
      </c>
      <c r="AO19" s="823">
        <f>IF(ISNUMBER(FIND("06",Criterios!A8,1)),(IF(ISNUMBER(((Datos!R19/Datos!Q19)*11)/factor_trimestre),((Datos!R19/Datos!Q19)*11)/factor_trimestre," - ")),(IF(ISNUMBER(((Datos!L19/Datos!K19)*11)/factor_trimestre),((Datos!L19/Datos!K19)*11)/factor_trimestre," - ")))</f>
        <v>6.9295717199184219</v>
      </c>
      <c r="AP19" s="834" t="str">
        <f>IF(ISNUMBER(Datos!CI19/Datos!CJ19),Datos!CI19/Datos!CJ19," - ")</f>
        <v xml:space="preserve"> - </v>
      </c>
      <c r="AQ19" s="834">
        <f>IF(OR(ISNUMBER(FIND("01",Criterios!A8,1)),ISNUMBER(FIND("02",Criterios!A8,1)),ISNUMBER(FIND("03",Criterios!A8,1)),ISNUMBER(FIND("04",Criterios!A8,1))),(J19-Y19+K19)/(F19-K19),(I19-Y19+K19)/(F19-K19))</f>
        <v>-1.0928792569659442</v>
      </c>
      <c r="AR19" s="834">
        <f>IF(ISNUMBER((Datos!P19-Datos!Q19+O19)/(Datos!R19-Datos!P19+Datos!Q19-O19)),(Datos!P19-Datos!Q19+O19)/(Datos!R19-Datos!P19+Datos!Q19-O19)," - ")</f>
        <v>2.4003750586029066E-2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1832.4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2319.2160313347267</v>
      </c>
      <c r="G21" s="552">
        <f>IF(ISNUMBER(STDEV(G8:G18)),STDEV(G8:G18),"-")</f>
        <v>2293.941215463029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313.87895756166898</v>
      </c>
      <c r="AK21" s="252"/>
      <c r="AL21" s="252">
        <f>IF(ISNUMBER(STDEV(AL8:AL18)),STDEV(AL8:AL18),"-")</f>
        <v>0</v>
      </c>
      <c r="AM21" s="254">
        <f>IF(ISNUMBER(STDEV(AM8:AM18)),STDEV(AM8:AM18),"-")</f>
        <v>0</v>
      </c>
      <c r="AN21" s="539">
        <f>IF(ISNUMBER(STDEV(AN8:AN18)),STDEV(AN8:AN18),"-")</f>
        <v>0</v>
      </c>
      <c r="AO21" s="540">
        <f>IF(ISNUMBER(STDEV(AO8:AO18)),STDEV(AO8:AO18),"-")</f>
        <v>4.6445927199504036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4AIoFV64lGvgZgI/uP2VQbW3QxlZazft5LKTkMIbj0GPPkrAc2794NYOL1QbELDAsiFD74qkvp3f607rrfUJIA==" saltValue="6whYGH/LUFTQAa1UwvVu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9whqzjuiDZTuxfm324s5uf7Ww36KkUo+kDQ8QVDdSJfLtiiXzzm6sIfxlIXDuCReKw8Biz4xlRTXqm2u6GmYg==" saltValue="P+yke3U58AuxpiQlpc5c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pTs8Ab0Dj/oujLSJORHbh2lAafpPmFMBz30bG5cC4oWEuHUhOdzg0ZpugMj2e/A6O6klTSM+oPIEVc68AORSg==" saltValue="a+IWGUrlzUtd0OwT5LVW9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MARBELLA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0.24628879892037786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0.17415247984688922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kWWHAa6zRCLNPkwjr0imX+ezzU98upVkf87dvU7qi7rtDEDNr25dFRdcFykNwUzIC4lkTg8zPZmO91u2lFTTug==" saltValue="UgEcql+ztvxmzb9OH8Sb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PNU0EXxQEMcDSTnwqWz4S/+qhSjGe204rnyExXpwCjdZZG7ut85rQWaOGQr1S6Yk8RvzNDmXwY/nVkFBFawpQ==" saltValue="hc5PoxG1uYQphqsHs8j3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MARBELLA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11420</v>
      </c>
      <c r="D9" s="404">
        <f>IF(ISNUMBER(C9/Datos!BH9),C9/Datos!BH9," - ")</f>
        <v>1427.5</v>
      </c>
      <c r="E9" s="403">
        <f>IF(ISNUMBER(IF(J_V="SI",Datos!J9,Datos!J9+Datos!Z9)),IF(J_V="SI",Datos!J9,Datos!J9+Datos!Z9)," - ")</f>
        <v>4063</v>
      </c>
      <c r="F9" s="404">
        <f>IF(ISNUMBER(E9/B9),E9/B9," - ")</f>
        <v>507.875</v>
      </c>
      <c r="G9" s="403">
        <f>IF(ISNUMBER(IF(J_V="SI",Datos!K9,Datos!K9+Datos!AA9)),IF(J_V="SI",Datos!K9,Datos!K9+Datos!AA9)," - ")</f>
        <v>2924</v>
      </c>
      <c r="H9" s="404">
        <f>IF(ISNUMBER(G9/B9),G9/B9," - ")</f>
        <v>365.5</v>
      </c>
      <c r="I9" s="403">
        <f>IF(ISNUMBER(IF(J_V="SI",Datos!L9,Datos!L9+Datos!AB9)),IF(J_V="SI",Datos!L9,Datos!L9+Datos!AB9)," - ")</f>
        <v>12567</v>
      </c>
      <c r="J9" s="404">
        <f>IF(ISNUMBER(I9/B9),I9/B9," - ")</f>
        <v>1570.875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68</v>
      </c>
      <c r="D10" s="404">
        <f>IF(ISNUMBER(C10/Datos!BH10),C10/Datos!BH10," - ")</f>
        <v>68</v>
      </c>
      <c r="E10" s="403">
        <f>IF(ISNUMBER(Datos!J10),Datos!J10," - ")</f>
        <v>47</v>
      </c>
      <c r="F10" s="404">
        <f>IF(ISNUMBER(E10/B10),E10/B10," - ")</f>
        <v>47</v>
      </c>
      <c r="G10" s="403">
        <f>IF(ISNUMBER(Datos!K10),Datos!K10," - ")</f>
        <v>40</v>
      </c>
      <c r="H10" s="404">
        <f>IF(ISNUMBER(G10/B10),G10/B10," - ")</f>
        <v>40</v>
      </c>
      <c r="I10" s="403">
        <f>IF(ISNUMBER(Datos!L10),Datos!L10," - ")</f>
        <v>98</v>
      </c>
      <c r="J10" s="404">
        <f>IF(ISNUMBER(I10/B10),I10/B10," - ")</f>
        <v>98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11488</v>
      </c>
      <c r="D13" s="850" t="str">
        <f>IF(ISNUMBER(C13/Datos!BI13),C13/Datos!BI13," - ")</f>
        <v xml:space="preserve"> - </v>
      </c>
      <c r="E13" s="849">
        <f>SUBTOTAL(9,E8:E12)</f>
        <v>4110</v>
      </c>
      <c r="F13" s="850">
        <f>IF(ISNUMBER(E13/B13),E13/B13," - ")</f>
        <v>456.66666666666669</v>
      </c>
      <c r="G13" s="849">
        <f>SUBTOTAL(9,G8:G12)</f>
        <v>2964</v>
      </c>
      <c r="H13" s="850">
        <f>IF(ISNUMBER(G13/B13),G13/B13," - ")</f>
        <v>329.33333333333331</v>
      </c>
      <c r="I13" s="849">
        <f>SUBTOTAL(9,I8:I12)</f>
        <v>12665</v>
      </c>
      <c r="J13" s="850">
        <f>IF(ISNUMBER(I13/B13),I13/B13," - ")</f>
        <v>1407.2222222222222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4164</v>
      </c>
      <c r="D15" s="404">
        <f>IF(ISNUMBER(C15/Datos!BH15),C15/Datos!BH15," - ")</f>
        <v>832.8</v>
      </c>
      <c r="E15" s="403">
        <f>IF(ISNUMBER(IF(D_I="SI",Datos!J15,Datos!J15+Datos!AD15)),IF(D_I="SI",Datos!J15,Datos!J15+Datos!AD15)," - ")</f>
        <v>4074</v>
      </c>
      <c r="F15" s="404">
        <f>IF(ISNUMBER(E15/B15),E15/B15," - ")</f>
        <v>814.8</v>
      </c>
      <c r="G15" s="403">
        <f>IF(ISNUMBER(IF(D_I="SI",Datos!K15,Datos!K15+Datos!AE15)),IF(D_I="SI",Datos!K15,Datos!K15+Datos!AE15)," - ")</f>
        <v>4148</v>
      </c>
      <c r="H15" s="404">
        <f>IF(ISNUMBER(G15/B15),G15/B15," - ")</f>
        <v>829.6</v>
      </c>
      <c r="I15" s="403">
        <f>IF(ISNUMBER(IF(D_I="SI",Datos!L15,Datos!L15+Datos!AF15)),IF(D_I="SI",Datos!L15,Datos!L15+Datos!AF15)," - ")</f>
        <v>4034</v>
      </c>
      <c r="J15" s="404">
        <f>IF(ISNUMBER(I15/B15),I15/B15," - ")</f>
        <v>806.8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349</v>
      </c>
      <c r="D17" s="404">
        <f>IF(ISNUMBER(C17/Datos!BH17),C17/Datos!BH17," - ")</f>
        <v>349</v>
      </c>
      <c r="E17" s="403">
        <f>IF(ISNUMBER(IF(D_I="SI",Datos!J17,Datos!J17+Datos!AD17)),IF(D_I="SI",Datos!J17,Datos!J17+Datos!AD17)," - ")</f>
        <v>618</v>
      </c>
      <c r="F17" s="404">
        <f>IF(ISNUMBER(E17/B17),E17/B17," - ")</f>
        <v>618</v>
      </c>
      <c r="G17" s="403">
        <f>IF(ISNUMBER(IF(D_I="SI",Datos!K17,Datos!K17+Datos!AE17)),IF(D_I="SI",Datos!K17,Datos!K17+Datos!AE17)," - ")</f>
        <v>401</v>
      </c>
      <c r="H17" s="404">
        <f>IF(ISNUMBER(G17/B17),G17/B17," - ")</f>
        <v>401</v>
      </c>
      <c r="I17" s="403">
        <f>IF(ISNUMBER(IF(D_I="SI",Datos!L17,Datos!L17+Datos!AF17)),IF(D_I="SI",Datos!L17,Datos!L17+Datos!AF17)," - ")</f>
        <v>579</v>
      </c>
      <c r="J17" s="404">
        <f>IF(ISNUMBER(I17/B17),I17/B17," - ")</f>
        <v>579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4513</v>
      </c>
      <c r="D18" s="850" t="str">
        <f>IF(ISNUMBER(C18/Datos!BI18),C18/Datos!BI18," - ")</f>
        <v xml:space="preserve"> - </v>
      </c>
      <c r="E18" s="849">
        <f>SUBTOTAL(9,E14:E17)</f>
        <v>4692</v>
      </c>
      <c r="F18" s="850">
        <f>IF(ISNUMBER(E18/B18),E18/B18," - ")</f>
        <v>782</v>
      </c>
      <c r="G18" s="849">
        <f>SUBTOTAL(9,G14:G17)</f>
        <v>4549</v>
      </c>
      <c r="H18" s="850">
        <f>IF(ISNUMBER(G18/B18),G18/B18," - ")</f>
        <v>758.16666666666663</v>
      </c>
      <c r="I18" s="849">
        <f>SUBTOTAL(9,I14:I17)</f>
        <v>4613</v>
      </c>
      <c r="J18" s="850">
        <f>IF(ISNUMBER(I18/B18),I18/B18," - ")</f>
        <v>768.83333333333337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16001</v>
      </c>
      <c r="D19" s="795" t="str">
        <f>IF(ISNUMBER(C19/Datos!BI19),C19/Datos!BI19," - ")</f>
        <v xml:space="preserve"> - </v>
      </c>
      <c r="E19" s="794">
        <f>SUBTOTAL(9,E9:E18)</f>
        <v>8802</v>
      </c>
      <c r="F19" s="795">
        <f>IF(ISNUMBER(E19/B19),E19/B19," - ")</f>
        <v>628.71428571428567</v>
      </c>
      <c r="G19" s="794">
        <f>SUBTOTAL(9,G9:G18)</f>
        <v>7513</v>
      </c>
      <c r="H19" s="795">
        <f>IF(ISNUMBER(G19/B19),G19/B19," - ")</f>
        <v>536.64285714285711</v>
      </c>
      <c r="I19" s="794">
        <f>SUBTOTAL(9,I9:I18)</f>
        <v>17278</v>
      </c>
      <c r="J19" s="795">
        <f>IF(ISNUMBER(I19/B19),I19/B19," - ")</f>
        <v>1234.1428571428571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32eAfk8IsolrlClXKbCk9QL4oqGV5rmwfKjm/dz0sZWcLrRxoO2odBuptiLQXgS3teAuUHE3ID/62Jsv8Jxilg==" saltValue="1hVlOXrPK+WTQ/HVTLDt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MARBELLA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91</v>
      </c>
      <c r="G10" s="684">
        <f>IF(ISNUMBER(Datos!I10),Datos!I10," - ")</f>
        <v>68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40</v>
      </c>
      <c r="AC10" s="683" t="str">
        <f>IF(ISNUMBER(IF(D_I="SI",DatosP!K17,DatosP!K17+DatosP!AE17)),IF(D_I="SI",DatosP!K17,DatosP!K17+DatosP!AE17)," - ")</f>
        <v xml:space="preserve"> - </v>
      </c>
      <c r="AD10" s="685"/>
      <c r="AE10" s="685"/>
      <c r="AF10" s="688">
        <f>IF(ISNUMBER(Datos!L10),Datos!L10,"-")</f>
        <v>98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7.3500000000000014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91</v>
      </c>
      <c r="G13" s="938">
        <f t="shared" si="0"/>
        <v>68</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40</v>
      </c>
      <c r="AC13" s="939">
        <f t="shared" si="1"/>
        <v>0</v>
      </c>
      <c r="AD13" s="939">
        <f t="shared" si="1"/>
        <v>0</v>
      </c>
      <c r="AE13" s="939">
        <f t="shared" si="1"/>
        <v>0</v>
      </c>
      <c r="AF13" s="939">
        <f t="shared" si="1"/>
        <v>98</v>
      </c>
      <c r="AG13" s="939">
        <f t="shared" si="1"/>
        <v>0</v>
      </c>
      <c r="AH13" s="939">
        <f t="shared" si="1"/>
        <v>0</v>
      </c>
      <c r="AI13" s="939">
        <f t="shared" si="1"/>
        <v>0</v>
      </c>
      <c r="AJ13" s="939">
        <f t="shared" si="1"/>
        <v>0</v>
      </c>
      <c r="AK13" s="939">
        <f t="shared" si="1"/>
        <v>0</v>
      </c>
      <c r="AL13" s="939">
        <f t="shared" si="1"/>
        <v>17</v>
      </c>
      <c r="AM13" s="939">
        <f t="shared" si="1"/>
        <v>21</v>
      </c>
      <c r="AN13" s="939">
        <f t="shared" si="1"/>
        <v>0</v>
      </c>
      <c r="AO13" s="939">
        <f t="shared" si="1"/>
        <v>0</v>
      </c>
      <c r="AP13" s="944">
        <f>IF(ISNUMBER(((Datos!L13/Datos!K13)*11)/factor_trimestre),((Datos!L13/Datos!K13)*11)/factor_trimestre," - ")</f>
        <v>13.231646471846043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-0.43956043956043955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3.0422070784787865</v>
      </c>
      <c r="AQ18" s="944">
        <f>IF(ISNUMBER(((Datos!M18/Datos!L18)*11)/factor_trimestre),((Datos!M18/Datos!L18)*11)/factor_trimestre," - ")</f>
        <v>0.30955993930197273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7.4999999999999997E-3</v>
      </c>
      <c r="AW18" s="946">
        <f>IF(ISNUMBER((Datos!Q18-Datos!R18)/(Datos!S18-Datos!Q18+Datos!R18)),(Datos!Q18-Datos!R18)/(Datos!S18-Datos!Q18+Datos!R18)," - ")</f>
        <v>-6.3378658677114549E-2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91</v>
      </c>
      <c r="G19" s="951">
        <f t="shared" si="4"/>
        <v>68</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40</v>
      </c>
      <c r="AC19" s="957">
        <f t="shared" si="5"/>
        <v>0</v>
      </c>
      <c r="AD19" s="957">
        <f t="shared" si="5"/>
        <v>0</v>
      </c>
      <c r="AE19" s="957">
        <f t="shared" si="5"/>
        <v>0</v>
      </c>
      <c r="AF19" s="958">
        <f t="shared" si="5"/>
        <v>98</v>
      </c>
      <c r="AG19" s="958">
        <f t="shared" si="5"/>
        <v>0</v>
      </c>
      <c r="AH19" s="958">
        <f t="shared" si="5"/>
        <v>0</v>
      </c>
      <c r="AI19" s="958">
        <f t="shared" si="5"/>
        <v>0</v>
      </c>
      <c r="AJ19" s="959">
        <f t="shared" si="5"/>
        <v>0</v>
      </c>
      <c r="AK19" s="959">
        <f t="shared" si="5"/>
        <v>0</v>
      </c>
      <c r="AL19" s="951">
        <f t="shared" si="5"/>
        <v>17</v>
      </c>
      <c r="AM19" s="951">
        <f t="shared" si="5"/>
        <v>21</v>
      </c>
      <c r="AN19" s="951">
        <f t="shared" si="5"/>
        <v>0</v>
      </c>
      <c r="AO19" s="951">
        <f t="shared" si="5"/>
        <v>0</v>
      </c>
      <c r="AP19" s="951">
        <f>IF(ISNUMBER(((Datos!L19/Datos!K19)*11)/factor_trimestre),((Datos!L19/Datos!K19)*11)/factor_trimestre," - ")</f>
        <v>6.9295717199184219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-0.43956043956043955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2.4003750586029066E-2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4.2895221179054435</v>
      </c>
      <c r="F21" s="736">
        <f>IF(ISNUMBER(STDEV(F8:F18)),STDEV(F8:F18),"-")</f>
        <v>52.538874496255943</v>
      </c>
      <c r="G21" s="737">
        <f>IF(ISNUMBER(STDEV(G8:G18)),STDEV(G8:G18),"-")</f>
        <v>39.259818304894551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23.094010767585029</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5.1149376051194722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JCjv6ftjjDenjAaB3eZkQ2SOoZfLUx7JUCBnMGsHg0StuJNOIHP2yGUkgiTbGNpFy4oRFYHyGg/E1S9Qz65KVQ==" saltValue="Hj6gxELKRWDGYa7TlMPs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MARBELLA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FopDZ79VoTA2XGvnnglcKeFYpsBDacQx+sxhBwkck4IkH2FGQBtuQlFZtQmiJkT1NpXnLZGucUWbRQ3FdOTMRg==" saltValue="DPXHC4pUajb6gLZKh/xa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MARBELLA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713</v>
      </c>
      <c r="E9" s="404">
        <f t="shared" ref="E9:E13" si="0">IF(ISNUMBER(D9/B9),D9/B9," - ")</f>
        <v>89.125</v>
      </c>
      <c r="F9" s="403">
        <f>IF(ISNUMBER(Datos!N9),Datos!N9," - ")</f>
        <v>1151</v>
      </c>
      <c r="G9" s="404">
        <f t="shared" ref="G9:G13" si="1">IF(ISNUMBER(F9/B9),F9/B9," - ")</f>
        <v>143.875</v>
      </c>
      <c r="H9" s="403">
        <f>IF(ISNUMBER(Datos!O9),Datos!O9," - ")</f>
        <v>1383</v>
      </c>
      <c r="I9" s="404">
        <f>IF(ISNUMBER(H9/B9),H9/B9," - ")</f>
        <v>172.875</v>
      </c>
      <c r="BZ9" s="1186">
        <f>Datos!EZ9</f>
        <v>0</v>
      </c>
    </row>
    <row r="10" spans="1:78">
      <c r="A10" s="402" t="str">
        <f>Datos!A10</f>
        <v>Jdos. Violencia contra la mujer</v>
      </c>
      <c r="B10" s="427">
        <f>Datos!AO10</f>
        <v>1</v>
      </c>
      <c r="C10" s="410">
        <f>Datos!AQ10</f>
        <v>1</v>
      </c>
      <c r="D10" s="403">
        <f>IF(ISNUMBER(Datos!M10),Datos!M10," - ")</f>
        <v>17</v>
      </c>
      <c r="E10" s="404">
        <f>IF(ISNUMBER(D10/B10),D10/B10," - ")</f>
        <v>17</v>
      </c>
      <c r="F10" s="403">
        <f>IF(ISNUMBER(Datos!N10),Datos!N10," - ")</f>
        <v>21</v>
      </c>
      <c r="G10" s="404">
        <f>IF(ISNUMBER(F10/B10),F10/B10," - ")</f>
        <v>21</v>
      </c>
      <c r="H10" s="403">
        <f>IF(ISNUMBER(Datos!O10),Datos!O10," - ")</f>
        <v>14</v>
      </c>
      <c r="I10" s="404">
        <f t="shared" ref="I10:I12" si="2">IF(ISNUMBER(H10/B10),H10/B10," - ")</f>
        <v>14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730</v>
      </c>
      <c r="E13" s="850">
        <f t="shared" si="0"/>
        <v>81.111111111111114</v>
      </c>
      <c r="F13" s="849">
        <f>SUBTOTAL(9,F9:F12)</f>
        <v>1172</v>
      </c>
      <c r="G13" s="850">
        <f t="shared" si="1"/>
        <v>130.22222222222223</v>
      </c>
      <c r="H13" s="849">
        <f>SUBTOTAL(9,H9:H12)</f>
        <v>1397</v>
      </c>
      <c r="I13" s="850">
        <f>IF(ISNUMBER(H13/B13),H13/B13," - ")</f>
        <v>155.22222222222223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439</v>
      </c>
      <c r="E15" s="404">
        <f t="shared" ref="E15:E18" si="3">IF(ISNUMBER(D15/B15),D15/B15," - ")</f>
        <v>87.8</v>
      </c>
      <c r="F15" s="403">
        <f>IF(ISNUMBER(Datos!N15),Datos!N15," - ")</f>
        <v>2641</v>
      </c>
      <c r="G15" s="404">
        <f t="shared" ref="G15:G18" si="4">IF(ISNUMBER(F15/B15),F15/B15," - ")</f>
        <v>528.20000000000005</v>
      </c>
      <c r="H15" s="403">
        <f>IF(ISNUMBER(Datos!O15),Datos!O15," - ")</f>
        <v>105</v>
      </c>
      <c r="I15" s="404">
        <f t="shared" ref="I15:I17" si="5">IF(ISNUMBER(H15/B15),H15/B15," - ")</f>
        <v>21</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37</v>
      </c>
      <c r="E17" s="404">
        <f>IF(ISNUMBER(D17/B17),D17/B17," - ")</f>
        <v>37</v>
      </c>
      <c r="F17" s="403">
        <f>IF(ISNUMBER(Datos!N17),Datos!N17," - ")</f>
        <v>201</v>
      </c>
      <c r="G17" s="404">
        <f>IF(ISNUMBER(F17/B17),F17/B17," - ")</f>
        <v>201</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476</v>
      </c>
      <c r="E18" s="850">
        <f t="shared" si="3"/>
        <v>79.333333333333329</v>
      </c>
      <c r="F18" s="849">
        <f>SUBTOTAL(9,F15:F17)</f>
        <v>2842</v>
      </c>
      <c r="G18" s="850">
        <f t="shared" si="4"/>
        <v>473.66666666666669</v>
      </c>
      <c r="H18" s="849">
        <f>SUBTOTAL(9,H15:H17)</f>
        <v>105</v>
      </c>
      <c r="I18" s="850">
        <f>IF(ISNUMBER(H18/B18),H18/B18," - ")</f>
        <v>17.5</v>
      </c>
      <c r="BZ18" s="1186"/>
    </row>
    <row r="19" spans="1:78" ht="14.25" thickTop="1" thickBot="1">
      <c r="A19" s="793" t="str">
        <f>Datos!A19</f>
        <v>TOTAL JURISDICCIONES</v>
      </c>
      <c r="B19" s="794">
        <f>Datos!AP19</f>
        <v>14</v>
      </c>
      <c r="C19" s="794">
        <f>Datos!AR19</f>
        <v>14</v>
      </c>
      <c r="D19" s="794">
        <f>SUBTOTAL(9,D8:D18)</f>
        <v>1206</v>
      </c>
      <c r="E19" s="795">
        <f>IF(ISNUMBER(D19/B19),D19/B19," - ")</f>
        <v>86.142857142857139</v>
      </c>
      <c r="F19" s="794">
        <f>SUBTOTAL(9,F8:F18)</f>
        <v>4014</v>
      </c>
      <c r="G19" s="795">
        <f>IF(ISNUMBER(F19/B19),F19/B19," - ")</f>
        <v>286.71428571428572</v>
      </c>
      <c r="H19" s="794">
        <f>SUBTOTAL(9,H8:H18)</f>
        <v>1502</v>
      </c>
      <c r="I19" s="795">
        <f>IF(ISNUMBER(H19/B19),H19/B19," - ")</f>
        <v>107.28571428571429</v>
      </c>
    </row>
    <row r="22" spans="1:78">
      <c r="A22" s="391" t="str">
        <f>Criterios!A4</f>
        <v>Fecha Informe: 27 feb. 2025</v>
      </c>
    </row>
    <row r="27" spans="1:78">
      <c r="A27" s="414"/>
    </row>
  </sheetData>
  <sheetProtection algorithmName="SHA-512" hashValue="457fya2kwwjtg/o/188S3waKSFsc6QenWg2ys1dVztpCHhM28qkiAFux9PZgLCtN2VHsiGZfSAq1mcjvKGw7mQ==" saltValue="N3XZwS7ZdwmxVjdYSn1T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MARBELLA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732</v>
      </c>
      <c r="C9" s="434">
        <f>IF(ISNUMBER(Datos!Q9),Datos!Q9," - ")</f>
        <v>481</v>
      </c>
      <c r="D9" s="408">
        <f>IF(ISNUMBER(Datos!R9),Datos!R9," - ")</f>
        <v>10469</v>
      </c>
    </row>
    <row r="10" spans="1:4">
      <c r="A10" s="402" t="str">
        <f>Datos!A10</f>
        <v>Jdos. Violencia contra la mujer</v>
      </c>
      <c r="B10" s="433">
        <f>IF(ISNUMBER(Datos!P10),Datos!P10," - ")</f>
        <v>18</v>
      </c>
      <c r="C10" s="434">
        <f>IF(ISNUMBER(Datos!Q10),Datos!Q10," - ")</f>
        <v>16</v>
      </c>
      <c r="D10" s="408">
        <f>IF(ISNUMBER(Datos!R10),Datos!R10," - ")</f>
        <v>49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750</v>
      </c>
      <c r="C13" s="853">
        <f>SUBTOTAL(9,C9:C12)</f>
        <v>497</v>
      </c>
      <c r="D13" s="851">
        <f>SUBTOTAL(9,D9:D12)</f>
        <v>10518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125</v>
      </c>
      <c r="C15" s="434">
        <f>IF(ISNUMBER(Datos!Q15),Datos!Q15," - ")</f>
        <v>123</v>
      </c>
      <c r="D15" s="408">
        <f>IF(ISNUMBER(Datos!R15),Datos!R15," - ")</f>
        <v>348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5</v>
      </c>
      <c r="D17" s="408">
        <f>IF(ISNUMBER(Datos!R17),Datos!R17," - ")</f>
        <v>55</v>
      </c>
    </row>
    <row r="18" spans="1:4" ht="14.25" thickTop="1" thickBot="1">
      <c r="A18" s="848" t="str">
        <f>Datos!A18</f>
        <v>TOTAL</v>
      </c>
      <c r="B18" s="849">
        <f>SUBTOTAL(9,B15:B17)</f>
        <v>131</v>
      </c>
      <c r="C18" s="853">
        <f>SUBTOTAL(9,C15:C17)</f>
        <v>128</v>
      </c>
      <c r="D18" s="851">
        <f>SUBTOTAL(9,D15:D17)</f>
        <v>403</v>
      </c>
    </row>
    <row r="19" spans="1:4" ht="16.5" customHeight="1" thickTop="1" thickBot="1">
      <c r="A19" s="793" t="str">
        <f>Datos!A19</f>
        <v>TOTAL JURISDICCIONES</v>
      </c>
      <c r="B19" s="798">
        <f>SUBTOTAL(9,B8:B18)</f>
        <v>881</v>
      </c>
      <c r="C19" s="799">
        <f>SUBTOTAL(9,C8:C18)</f>
        <v>625</v>
      </c>
      <c r="D19" s="800">
        <f>SUBTOTAL(9,D8:D18)</f>
        <v>10921</v>
      </c>
    </row>
    <row r="20" spans="1:4" ht="7.5" customHeight="1"/>
    <row r="21" spans="1:4" ht="6" customHeight="1"/>
    <row r="22" spans="1:4">
      <c r="A22" s="391" t="str">
        <f>Criterios!A4</f>
        <v>Fecha Informe: 27 feb. 2025</v>
      </c>
    </row>
    <row r="27" spans="1:4">
      <c r="A27" s="414"/>
    </row>
  </sheetData>
  <sheetProtection algorithmName="SHA-512" hashValue="ICAWhu8rorANWj8NuyTSocDyC02Sol2ViGmIyOLrxcurS5+DMttcPPR/Rn7DWzvhGZ+QK/ApDoP+dRpsnnNl5g==" saltValue="Np7YlV0IIBI6x7UTmbT9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MARBELLA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0.10316846986089645</v>
      </c>
      <c r="C9" s="456">
        <f>IF(ISNUMBER(
   IF(J_V="SI",(Datos!J9-Datos!T9)/Datos!T9,(Datos!J9+Datos!Z9-(Datos!T9+Datos!AH9))/(Datos!T9+Datos!AH9))
     ),IF(J_V="SI",(Datos!J9-Datos!T9)/Datos!T9,(Datos!J9+Datos!Z9-(Datos!T9+Datos!AH9))/(Datos!T9+Datos!AH9))," - ")</f>
        <v>0.55849635596471037</v>
      </c>
      <c r="D9" s="456">
        <f>IF(ISNUMBER(
   IF(J_V="SI",(Datos!K9-Datos!U9)/Datos!U9,(Datos!K9+Datos!AA9-(Datos!U9+Datos!AI9))/(Datos!U9+Datos!AI9))
     ),IF(J_V="SI",(Datos!K9-Datos!U9)/Datos!U9,(Datos!K9+Datos!AA9-(Datos!U9+Datos!AI9))/(Datos!U9+Datos!AI9))," - ")</f>
        <v>0.13553398058252428</v>
      </c>
      <c r="E9" s="456">
        <f>IF(ISNUMBER(
   IF(J_V="SI",(Datos!L9-Datos!V9)/Datos!V9,(Datos!L9+Datos!AB9-(Datos!V9+Datos!AJ9))/(Datos!V9+Datos!AJ9))
     ),IF(J_V="SI",(Datos!L9-Datos!V9)/Datos!V9,(Datos!L9+Datos!AB9-(Datos!V9+Datos!AJ9))/(Datos!V9+Datos!AJ9))," - ")</f>
        <v>0.21034383126264086</v>
      </c>
      <c r="F9" s="456">
        <f>IF(ISNUMBER((Datos!M9-Datos!W9)/Datos!W9),(Datos!M9-Datos!W9)/Datos!W9," - ")</f>
        <v>8.1942336874051599E-2</v>
      </c>
      <c r="G9" s="457">
        <f>IF(ISNUMBER((Datos!N9-Datos!X9)/Datos!X9),(Datos!N9-Datos!X9)/Datos!X9," - ")</f>
        <v>0.44597989949748745</v>
      </c>
      <c r="H9" s="455">
        <f>IF(ISNUMBER(((NºAsuntos!G9/NºAsuntos!E9)-Datos!BD9)/Datos!BD9),((NºAsuntos!G9/NºAsuntos!E9)-Datos!BD9)/Datos!BD9," - ")</f>
        <v>-0.27139131494495672</v>
      </c>
      <c r="I9" s="456">
        <f>IF(ISNUMBER(((NºAsuntos!I9/NºAsuntos!G9)-Datos!BE9)/Datos!BE9),((NºAsuntos!I9/NºAsuntos!G9)-Datos!BE9)/Datos!BE9," - ")</f>
        <v>6.5880767955301192E-2</v>
      </c>
      <c r="J9" s="461">
        <f>IF(ISNUMBER((('Resol  Asuntos'!D9/NºAsuntos!G9)-Datos!BF9)/Datos!BF9),(('Resol  Asuntos'!D9/NºAsuntos!G9)-Datos!BF9)/Datos!BF9," - ")</f>
        <v>-0.2111828808887117</v>
      </c>
      <c r="K9" s="462">
        <f>IF(ISNUMBER((((NºAsuntos!C9+NºAsuntos!E9)/NºAsuntos!G9)-Datos!BG9)/Datos!BG9),(((NºAsuntos!C9+NºAsuntos!E9)/NºAsuntos!G9)-Datos!BG9)/Datos!BG9," - ")</f>
        <v>5.2164123006485069E-2</v>
      </c>
    </row>
    <row r="10" spans="1:11">
      <c r="A10" s="402" t="str">
        <f>Datos!A10</f>
        <v>Jdos. Violencia contra la mujer</v>
      </c>
      <c r="B10" s="455">
        <f>IF(ISNUMBER((Datos!I10-Datos!S10)/Datos!S10),(Datos!I10-Datos!S10)/Datos!S10," - ")</f>
        <v>-0.24444444444444444</v>
      </c>
      <c r="C10" s="456">
        <f>IF(ISNUMBER((Datos!J10-Datos!T10)/Datos!T10),(Datos!J10-Datos!T10)/Datos!T10," - ")</f>
        <v>0.6785714285714286</v>
      </c>
      <c r="D10" s="456">
        <f>IF(ISNUMBER((Datos!K10-Datos!U10)/Datos!U10),(Datos!K10-Datos!U10)/Datos!U10," - ")</f>
        <v>1.1052631578947369</v>
      </c>
      <c r="E10" s="456">
        <f>IF(ISNUMBER((Datos!L10-Datos!V10)/Datos!V10),(Datos!L10-Datos!V10)/Datos!V10," - ")</f>
        <v>0.22500000000000001</v>
      </c>
      <c r="F10" s="456">
        <f>IF(ISNUMBER((Datos!M10-Datos!W10)/Datos!W10),(Datos!M10-Datos!W10)/Datos!W10," - ")</f>
        <v>2.4</v>
      </c>
      <c r="G10" s="457">
        <f>IF(ISNUMBER((Datos!N10-Datos!X10)/Datos!X10),(Datos!N10-Datos!X10)/Datos!X10," - ")</f>
        <v>0.90909090909090906</v>
      </c>
      <c r="H10" s="455">
        <f>IF(ISNUMBER(((NºAsuntos!G10/NºAsuntos!E10)-Datos!BD10)/Datos!BD10),((NºAsuntos!G10/NºAsuntos!E10)-Datos!BD10)/Datos!BD10," - ")</f>
        <v>0.25419932810750273</v>
      </c>
      <c r="I10" s="456">
        <f>IF(ISNUMBER(((NºAsuntos!I10/NºAsuntos!G10)-Datos!BE10)/Datos!BE10),((NºAsuntos!I10/NºAsuntos!G10)-Datos!BE10)/Datos!BE10," - ")</f>
        <v>-0.41812499999999991</v>
      </c>
      <c r="J10" s="461">
        <f>IF(ISNUMBER((('Resol  Asuntos'!D10/NºAsuntos!G10)-Datos!BF10)/Datos!BF10),(('Resol  Asuntos'!D10/NºAsuntos!G10)-Datos!BF10)/Datos!BF10," - ")</f>
        <v>0.6150000000000001</v>
      </c>
      <c r="K10" s="462">
        <f>IF(ISNUMBER((((NºAsuntos!C10+NºAsuntos!E10)/NºAsuntos!G10)-Datos!BG10)/Datos!BG10),(((NºAsuntos!C10+NºAsuntos!E10)/NºAsuntos!G10)-Datos!BG10)/Datos!BG10," - ")</f>
        <v>-0.53707627118644063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0.10017238076996744</v>
      </c>
      <c r="C13" s="855">
        <f>IF(ISNUMBER(
   IF(J_V="SI",(Datos!J13-Datos!T13)/Datos!T13,(Datos!J13+Datos!Z13-(Datos!T13+Datos!AH13))/(Datos!T13+Datos!AH13))
     ),IF(J_V="SI",(Datos!J13-Datos!T13)/Datos!T13,(Datos!J13+Datos!Z13-(Datos!T13+Datos!AH13))/(Datos!T13+Datos!AH13))," - ")</f>
        <v>0.5597722960151803</v>
      </c>
      <c r="D13" s="855">
        <f>IF(ISNUMBER(
   IF(J_V="SI",(Datos!K13-Datos!U13)/Datos!U13,(Datos!K13+Datos!AA13-(Datos!U13+Datos!AI13))/(Datos!U13+Datos!AI13))
     ),IF(J_V="SI",(Datos!K13-Datos!U13)/Datos!U13,(Datos!K13+Datos!AA13-(Datos!U13+Datos!AI13))/(Datos!U13+Datos!AI13))," - ")</f>
        <v>0.14263685427910563</v>
      </c>
      <c r="E13" s="855">
        <f>IF(ISNUMBER(
   IF(J_V="SI",(Datos!L13-Datos!V13)/Datos!V13,(Datos!L13+Datos!AB13-(Datos!V13+Datos!AJ13))/(Datos!V13+Datos!AJ13))
     ),IF(J_V="SI",(Datos!L13-Datos!V13)/Datos!V13,(Datos!L13+Datos!AB13-(Datos!V13+Datos!AJ13))/(Datos!V13+Datos!AJ13))," - ")</f>
        <v>0.21045589219153207</v>
      </c>
      <c r="F13" s="856">
        <f>IF(ISNUMBER((Datos!M13-Datos!W13)/Datos!W13),(Datos!M13-Datos!W13)/Datos!W13," - ")</f>
        <v>9.9397590361445784E-2</v>
      </c>
      <c r="G13" s="857">
        <f>IF(ISNUMBER((Datos!N13-Datos!X13)/Datos!X13),(Datos!N13-Datos!X13)/Datos!X13," - ")</f>
        <v>0.45229244114002476</v>
      </c>
      <c r="H13" s="857">
        <f>IF(ISNUMBER(((NºAsuntos!G13/NºAsuntos!E13)-Datos!BD13)/Datos!BD13),((NºAsuntos!G13/NºAsuntos!E13)-Datos!BD13)/Datos!BD13," - ")</f>
        <v>-0.26743354962884597</v>
      </c>
      <c r="I13" s="857">
        <f>IF(ISNUMBER(((NºAsuntos!I13/NºAsuntos!G13)-Datos!BE13)/Datos!BE13),((NºAsuntos!I13/NºAsuntos!G13)-Datos!BE13)/Datos!BE13," - ")</f>
        <v>5.9353098631860494E-2</v>
      </c>
      <c r="J13" s="857">
        <f>IF(ISNUMBER((('Resol  Asuntos'!D13/NºAsuntos!G13)-Datos!BF13)/Datos!BF13),(('Resol  Asuntos'!D13/NºAsuntos!G13)-Datos!BF13)/Datos!BF13," - ")</f>
        <v>-0.20240556254749048</v>
      </c>
      <c r="K13" s="857">
        <f>IF(ISNUMBER((((NºAsuntos!C13+NºAsuntos!E13)/NºAsuntos!G13)-Datos!BG13)/Datos!BG13),(((NºAsuntos!C13+NºAsuntos!E13)/NºAsuntos!G13)-Datos!BG13)/Datos!BG13," - ")</f>
        <v>4.3884777973958289E-2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6.062149770759042E-2</v>
      </c>
      <c r="C15" s="456">
        <f>IF(ISNUMBER(
   IF(D_I="SI",(Datos!J15-Datos!T15)/Datos!T15,(Datos!J15+Datos!AD15-(Datos!T15+Datos!AL15))/(Datos!T15+Datos!AL15))
     ),IF(D_I="SI",(Datos!J15-Datos!T15)/Datos!T15,(Datos!J15+Datos!AD15-(Datos!T15+Datos!AL15))/(Datos!T15+Datos!AL15))," - ")</f>
        <v>-0.12198275862068965</v>
      </c>
      <c r="D15" s="456">
        <f>IF(ISNUMBER(
   IF(D_I="SI",(Datos!K15-Datos!U15)/Datos!U15,(Datos!K15+Datos!AE15-(Datos!U15+Datos!AM15))/(Datos!U15+Datos!AM15))
     ),IF(D_I="SI",(Datos!K15-Datos!U15)/Datos!U15,(Datos!K15+Datos!AE15-(Datos!U15+Datos!AM15))/(Datos!U15+Datos!AM15))," - ")</f>
        <v>-7.203579418344519E-2</v>
      </c>
      <c r="E15" s="456">
        <f>IF(ISNUMBER(
   IF(D_I="SI",(Datos!L15-Datos!V15)/Datos!V15,(Datos!L15+Datos!AF15-(Datos!V15+Datos!AN15))/(Datos!V15+Datos!AN15))
     ),IF(D_I="SI",(Datos!L15-Datos!V15)/Datos!V15,(Datos!L15+Datos!AF15-(Datos!V15+Datos!AN15))/(Datos!V15+Datos!AN15))," - ")</f>
        <v>5.1342194422726091E-2</v>
      </c>
      <c r="F15" s="456">
        <f>IF(ISNUMBER((Datos!M15-Datos!W15)/Datos!W15),(Datos!M15-Datos!W15)/Datos!W15," - ")</f>
        <v>0.13730569948186527</v>
      </c>
      <c r="G15" s="457">
        <f>IF(ISNUMBER((Datos!N15-Datos!X15)/Datos!X15),(Datos!N15-Datos!X15)/Datos!X15," - ")</f>
        <v>-0.16871262197041234</v>
      </c>
      <c r="H15" s="455">
        <f>IF(ISNUMBER(((NºAsuntos!G15/NºAsuntos!E15)-Datos!BD15)/Datos!BD15),((NºAsuntos!G15/NºAsuntos!E15)-Datos!BD15)/Datos!BD15," - ")</f>
        <v>5.6886086153366239E-2</v>
      </c>
      <c r="I15" s="456">
        <f>IF(ISNUMBER(((NºAsuntos!I15/NºAsuntos!G15)-Datos!BE15)/Datos!BE15),((NºAsuntos!I15/NºAsuntos!G15)-Datos!BE15)/Datos!BE15," - ")</f>
        <v>0.13295554702738319</v>
      </c>
      <c r="J15" s="461">
        <f>IF(ISNUMBER((('Resol  Asuntos'!D15/NºAsuntos!G15)-Datos!BF15)/Datos!BF15),(('Resol  Asuntos'!D15/NºAsuntos!G15)-Datos!BF15)/Datos!BF15," - ")</f>
        <v>0.22559220749371703</v>
      </c>
      <c r="K15" s="462">
        <f>IF(ISNUMBER((((NºAsuntos!C15+NºAsuntos!E15)/NºAsuntos!G15)-Datos!BG15)/Datos!BG15),(((NºAsuntos!C15+NºAsuntos!E15)/NºAsuntos!G15)-Datos!BG15)/Datos!BG15," - ")</f>
        <v>3.636441620355061E-2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1.5289855072463767</v>
      </c>
      <c r="C17" s="456">
        <f>IF(ISNUMBER(
   IF(D_I="SI",(Datos!J17-Datos!T17)/Datos!T17,(Datos!J17+Datos!AD17-(Datos!T17+Datos!AL17))/(Datos!T17+Datos!AL17))
     ),IF(D_I="SI",(Datos!J17-Datos!T17)/Datos!T17,(Datos!J17+Datos!AD17-(Datos!T17+Datos!AL17))/(Datos!T17+Datos!AL17))," - ")</f>
        <v>1.1164383561643836</v>
      </c>
      <c r="D17" s="456">
        <f>IF(ISNUMBER(
   IF(D_I="SI",(Datos!K17-Datos!U17)/Datos!U17,(Datos!K17+Datos!AE17-(Datos!U17+Datos!AM17))/(Datos!U17+Datos!AM17))
     ),IF(D_I="SI",(Datos!K17-Datos!U17)/Datos!U17,(Datos!K17+Datos!AE17-(Datos!U17+Datos!AM17))/(Datos!U17+Datos!AM17))," - ")</f>
        <v>0.40701754385964911</v>
      </c>
      <c r="E17" s="456">
        <f>IF(ISNUMBER(
   IF(D_I="SI",(Datos!L17-Datos!V17)/Datos!V17,(Datos!L17+Datos!AF17-(Datos!V17+Datos!AN17))/(Datos!V17+Datos!AN17))
     ),IF(D_I="SI",(Datos!L17-Datos!V17)/Datos!V17,(Datos!L17+Datos!AF17-(Datos!V17+Datos!AN17))/(Datos!V17+Datos!AN17))," - ")</f>
        <v>2.8344370860927151</v>
      </c>
      <c r="F17" s="456">
        <f>IF(ISNUMBER((Datos!M17-Datos!W17)/Datos!W17),(Datos!M17-Datos!W17)/Datos!W17," - ")</f>
        <v>0.12121212121212122</v>
      </c>
      <c r="G17" s="457">
        <f>IF(ISNUMBER((Datos!N17-Datos!X17)/Datos!X17),(Datos!N17-Datos!X17)/Datos!X17," - ")</f>
        <v>0.67500000000000004</v>
      </c>
      <c r="H17" s="455">
        <f>IF(ISNUMBER(((NºAsuntos!G17/NºAsuntos!E17)-Datos!BD17)/Datos!BD17),((NºAsuntos!G17/NºAsuntos!E17)-Datos!BD17)/Datos!BD17," - ")</f>
        <v>-0.33519559416340206</v>
      </c>
      <c r="I17" s="456">
        <f>IF(ISNUMBER(((NºAsuntos!I17/NºAsuntos!G17)-Datos!BE17)/Datos!BE17),((NºAsuntos!I17/NºAsuntos!G17)-Datos!BE17)/Datos!BE17," - ")</f>
        <v>1.7252233654274911</v>
      </c>
      <c r="J17" s="461">
        <f>IF(ISNUMBER((('Resol  Asuntos'!D17/NºAsuntos!G17)-Datos!BF17)/Datos!BF17),(('Resol  Asuntos'!D17/NºAsuntos!G17)-Datos!BF17)/Datos!BF17," - ")</f>
        <v>-0.20312854228066199</v>
      </c>
      <c r="K17" s="462">
        <f>IF(ISNUMBER((((NºAsuntos!C17+NºAsuntos!E17)/NºAsuntos!G17)-Datos!BG17)/Datos!BG17),(((NºAsuntos!C17+NºAsuntos!E17)/NºAsuntos!G17)-Datos!BG17)/Datos!BG17," - ")</f>
        <v>0.59830075972858532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0.11048228346456693</v>
      </c>
      <c r="C18" s="855">
        <f>IF(ISNUMBER(
   IF(Criterios!B14="SI",(Datos!J18-Datos!T18)/Datos!T18,(Datos!J18+Datos!AD18-(Datos!T18+Datos!AL18))/(Datos!T18+Datos!AL18))
     ),IF(Criterios!B14="SI",(Datos!J18-Datos!T18)/Datos!T18,(Datos!J18+Datos!AD18-(Datos!T18+Datos!AL18))/(Datos!T18+Datos!AL18))," - ")</f>
        <v>-4.8661800486618008E-2</v>
      </c>
      <c r="D18" s="855">
        <f>IF(ISNUMBER(
   IF(Criterios!B14="SI",(Datos!K18-Datos!U18)/Datos!U18,(Datos!K18+Datos!AE18-(Datos!U18+Datos!AM18))/(Datos!U18+Datos!AM18))
     ),IF(Criterios!B14="SI",(Datos!K18-Datos!U18)/Datos!U18,(Datos!K18+Datos!AE18-(Datos!U18+Datos!AM18))/(Datos!U18+Datos!AM18))," - ")</f>
        <v>-4.3322818086225026E-2</v>
      </c>
      <c r="E18" s="855">
        <f>IF(ISNUMBER(
   IF(Criterios!B14="SI",(Datos!L18-Datos!V18)/Datos!V18,(Datos!L18+Datos!AF18-(Datos!V18+Datos!AN18))/(Datos!V18+Datos!AN18))
     ),IF(Criterios!B14="SI",(Datos!L18-Datos!V18)/Datos!V18,(Datos!L18+Datos!AF18-(Datos!V18+Datos!AN18))/(Datos!V18+Datos!AN18))," - ")</f>
        <v>0.15672016048144433</v>
      </c>
      <c r="F18" s="856">
        <f>IF(ISNUMBER((Datos!M18-Datos!W18)/Datos!W18),(Datos!M18-Datos!W18)/Datos!W18," - ")</f>
        <v>0.13603818615751789</v>
      </c>
      <c r="G18" s="857">
        <f>IF(ISNUMBER((Datos!N18-Datos!X18)/Datos!X18),(Datos!N18-Datos!X18)/Datos!X18," - ")</f>
        <v>-0.13800424628450106</v>
      </c>
      <c r="H18" s="857">
        <f>IF(ISNUMBER(((NºAsuntos!G18/NºAsuntos!E18)-Datos!BD18)/Datos!BD18),((NºAsuntos!G18/NºAsuntos!E18)-Datos!BD18)/Datos!BD18," - ")</f>
        <v>5.6120761293133991E-3</v>
      </c>
      <c r="I18" s="857">
        <f>IF(ISNUMBER(((NºAsuntos!I18/NºAsuntos!G18)-Datos!BE18)/Datos!BE18),((NºAsuntos!I18/NºAsuntos!G18)-Datos!BE18)/Datos!BE18," - ")</f>
        <v>0.20910186042850459</v>
      </c>
      <c r="J18" s="857">
        <f>IF(ISNUMBER((('Resol  Asuntos'!D18/NºAsuntos!G18)-Datos!BF18)/Datos!BF18),(('Resol  Asuntos'!D18/NºAsuntos!G18)-Datos!BF18)/Datos!BF18," - ")</f>
        <v>0.1874833095579243</v>
      </c>
      <c r="K18" s="857">
        <f>IF(ISNUMBER((((NºAsuntos!C18+NºAsuntos!E18)/NºAsuntos!G18)-Datos!BG18)/Datos!BG18),(((NºAsuntos!C18+NºAsuntos!E18)/NºAsuntos!G18)-Datos!BG18)/Datos!BG18," - ")</f>
        <v>6.9569304195284315E-2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0.10306080242658211</v>
      </c>
      <c r="C19" s="802">
        <f>IF(ISNUMBER(
   IF(J_V="SI",(Datos!J19-Datos!T19)/Datos!T19,(Datos!J19+Datos!Z19-(Datos!T19+Datos!AH19))/(Datos!T19+Datos!AH19))
     ),IF(J_V="SI",(Datos!J19-Datos!T19)/Datos!T19,(Datos!J19+Datos!Z19-(Datos!T19+Datos!AH19))/(Datos!T19+Datos!AH19))," - ")</f>
        <v>0.1632086692216202</v>
      </c>
      <c r="D19" s="802">
        <f>IF(ISNUMBER(
   IF(J_V="SI",(Datos!K19-Datos!U19)/Datos!U19,(Datos!K19+Datos!AA19-(Datos!U19+Datos!AI19))/(Datos!U19+Datos!AI19))
     ),IF(J_V="SI",(Datos!K19-Datos!U19)/Datos!U19,(Datos!K19+Datos!AA19-(Datos!U19+Datos!AI19))/(Datos!U19+Datos!AI19))," - ")</f>
        <v>2.2315961355286434E-2</v>
      </c>
      <c r="E19" s="802">
        <f>IF(ISNUMBER(
   IF(J_V="SI",(Datos!L19-Datos!V19)/Datos!V19,(Datos!L19+Datos!AB19-(Datos!V19+Datos!AJ19))/(Datos!V19+Datos!AJ19))
     ),IF(J_V="SI",(Datos!L19-Datos!V19)/Datos!V19,(Datos!L19+Datos!AB19-(Datos!V19+Datos!AJ19))/(Datos!V19+Datos!AJ19))," - ")</f>
        <v>0.19562660023527784</v>
      </c>
      <c r="F19" s="803">
        <f>IF(ISNUMBER((Datos!M19-Datos!W19)/Datos!W19),(Datos!M19-Datos!W19)/Datos!W19," - ")</f>
        <v>0.11357340720221606</v>
      </c>
      <c r="G19" s="804">
        <f>IF(ISNUMBER((Datos!N19-Datos!X19)/Datos!X19),(Datos!N19-Datos!X19)/Datos!X19," - ")</f>
        <v>-2.1929824561403508E-2</v>
      </c>
      <c r="H19" s="805">
        <f>IF(ISNUMBER((Tasas!B19-Datos!BD19)/Datos!BD19),(Tasas!B19-Datos!BD19)/Datos!BD19," - ")</f>
        <v>-0.12112419000506108</v>
      </c>
      <c r="I19" s="806">
        <f>IF(ISNUMBER((Tasas!C19-Datos!BE19)/Datos!BE19),(Tasas!C19-Datos!BE19)/Datos!BE19," - ")</f>
        <v>0.16952747040184449</v>
      </c>
      <c r="J19" s="807">
        <f>IF(ISNUMBER((Tasas!D19-Datos!BF19)/Datos!BF19),(Tasas!D19-Datos!BF19)/Datos!BF19," - ")</f>
        <v>-3.305374509320453E-2</v>
      </c>
      <c r="K19" s="807">
        <f>IF(ISNUMBER((Tasas!E19-Datos!BG19)/Datos!BG19),(Tasas!E19-Datos!BG19)/Datos!BG19," - ")</f>
        <v>9.9151883695769299E-2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ERS56bwvZMkOvlx6yjfhJxkcHsp2jRqkYwVtgB//55ef7Z5AcJlxYVbSUY5k24sJCTKLnZCC+uRz4gWj+5+eg==" saltValue="5tg4Ln9BNVsNij7Tgh8b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MARBELLA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0.71966527196652719</v>
      </c>
      <c r="C9" s="443">
        <f>IF(ISNUMBER(NºAsuntos!I9/NºAsuntos!G9),NºAsuntos!I9/NºAsuntos!G9," - ")</f>
        <v>4.2978796169630646</v>
      </c>
      <c r="D9" s="444">
        <f>IF(ISNUMBER('Resol  Asuntos'!D9/NºAsuntos!G9),'Resol  Asuntos'!D9/NºAsuntos!G9," - ")</f>
        <v>0.24384404924760603</v>
      </c>
      <c r="E9" s="445">
        <f>IF(ISNUMBER((NºAsuntos!C9+NºAsuntos!E9)/NºAsuntos!G9),(NºAsuntos!C9+NºAsuntos!E9)/NºAsuntos!G9," - ")</f>
        <v>5.295143638850889</v>
      </c>
      <c r="G9" s="463"/>
    </row>
    <row r="10" spans="1:7">
      <c r="A10" s="402" t="str">
        <f>Datos!A10</f>
        <v>Jdos. Violencia contra la mujer</v>
      </c>
      <c r="B10" s="442">
        <f>IF(ISNUMBER(NºAsuntos!G10/NºAsuntos!E10),NºAsuntos!G10/NºAsuntos!E10," - ")</f>
        <v>0.85106382978723405</v>
      </c>
      <c r="C10" s="443">
        <f>IF(ISNUMBER(NºAsuntos!I10/NºAsuntos!G10),NºAsuntos!I10/NºAsuntos!G10," - ")</f>
        <v>2.4500000000000002</v>
      </c>
      <c r="D10" s="444">
        <f>IF(ISNUMBER('Resol  Asuntos'!D10/NºAsuntos!G10),'Resol  Asuntos'!D10/NºAsuntos!G10," - ")</f>
        <v>0.42499999999999999</v>
      </c>
      <c r="E10" s="445">
        <f>IF(ISNUMBER((NºAsuntos!C10+NºAsuntos!E10)/NºAsuntos!G10),(NºAsuntos!C10+NºAsuntos!E10)/NºAsuntos!G10," - ")</f>
        <v>2.875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0.7211678832116788</v>
      </c>
      <c r="C13" s="859">
        <f>IF(ISNUMBER(NºAsuntos!I13/NºAsuntos!G13),NºAsuntos!I13/NºAsuntos!G13," - ")</f>
        <v>4.2729419703103915</v>
      </c>
      <c r="D13" s="860">
        <f>IF(ISNUMBER('Resol  Asuntos'!D13/NºAsuntos!G13),'Resol  Asuntos'!D13/NºAsuntos!G13," - ")</f>
        <v>0.24628879892037786</v>
      </c>
      <c r="E13" s="861">
        <f>IF(ISNUMBER((NºAsuntos!C13+NºAsuntos!E13)/NºAsuntos!G13),(NºAsuntos!C13+NºAsuntos!E13)/NºAsuntos!G13," - ")</f>
        <v>5.262483130904184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1.0181639666175748</v>
      </c>
      <c r="C15" s="443">
        <f>IF(ISNUMBER(NºAsuntos!I15/NºAsuntos!G15),NºAsuntos!I15/NºAsuntos!G15," - ")</f>
        <v>0.97251687560270006</v>
      </c>
      <c r="D15" s="444">
        <f>IF(ISNUMBER('Resol  Asuntos'!D15/NºAsuntos!G15),'Resol  Asuntos'!D15/NºAsuntos!G15," - ")</f>
        <v>0.10583413693346191</v>
      </c>
      <c r="E15" s="445">
        <f>IF(ISNUMBER((NºAsuntos!C15+NºAsuntos!E15)/NºAsuntos!G15),(NºAsuntos!C15+NºAsuntos!E15)/NºAsuntos!G15," - ")</f>
        <v>1.9860173577627773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0.64886731391585761</v>
      </c>
      <c r="C17" s="443">
        <f>IF(ISNUMBER(NºAsuntos!I17/NºAsuntos!G17),NºAsuntos!I17/NºAsuntos!G17," - ")</f>
        <v>1.4438902743142146</v>
      </c>
      <c r="D17" s="444">
        <f>IF(ISNUMBER('Resol  Asuntos'!D17/NºAsuntos!G17),'Resol  Asuntos'!D17/NºAsuntos!G17," - ")</f>
        <v>9.2269326683291769E-2</v>
      </c>
      <c r="E17" s="445">
        <f>IF(ISNUMBER((NºAsuntos!C17+NºAsuntos!E17)/NºAsuntos!G17),(NºAsuntos!C17+NºAsuntos!E17)/NºAsuntos!G17," - ")</f>
        <v>2.4114713216957604</v>
      </c>
      <c r="G17" s="463"/>
    </row>
    <row r="18" spans="1:7" ht="14.25" thickTop="1" thickBot="1">
      <c r="A18" s="848" t="str">
        <f>Datos!A18</f>
        <v>TOTAL</v>
      </c>
      <c r="B18" s="858">
        <f>IF(ISNUMBER(NºAsuntos!G18/NºAsuntos!E18),NºAsuntos!G18/NºAsuntos!E18," - ")</f>
        <v>0.96952259164535382</v>
      </c>
      <c r="C18" s="859">
        <f>IF(ISNUMBER(NºAsuntos!I18/NºAsuntos!G18),NºAsuntos!I18/NºAsuntos!G18," - ")</f>
        <v>1.0140690261595955</v>
      </c>
      <c r="D18" s="862">
        <f>IF(ISNUMBER('Resol  Asuntos'!D18/NºAsuntos!G18),'Resol  Asuntos'!D18/NºAsuntos!G18," - ")</f>
        <v>0.10463838206199165</v>
      </c>
      <c r="E18" s="861">
        <f>IF(ISNUMBER((NºAsuntos!C18+NºAsuntos!E18)/NºAsuntos!G18),(NºAsuntos!C18+NºAsuntos!E18)/NºAsuntos!G18," - ")</f>
        <v>2.0235216531105737</v>
      </c>
      <c r="G18" s="463"/>
    </row>
    <row r="19" spans="1:7" ht="15.75" customHeight="1" thickTop="1" thickBot="1">
      <c r="A19" s="793" t="str">
        <f>Datos!A19</f>
        <v>TOTAL JURISDICCIONES</v>
      </c>
      <c r="B19" s="808">
        <f>IF(ISNUMBER(NºAsuntos!G19/NºAsuntos!E19),NºAsuntos!G19/NºAsuntos!E19," - ")</f>
        <v>0.85355600999772774</v>
      </c>
      <c r="C19" s="809">
        <f>IF(ISNUMBER(NºAsuntos!I19/NºAsuntos!G19),NºAsuntos!I19/NºAsuntos!G19," - ")</f>
        <v>2.299747105017969</v>
      </c>
      <c r="D19" s="810">
        <f>IF(ISNUMBER('Resol  Asuntos'!D19/NºAsuntos!G19),'Resol  Asuntos'!D19/NºAsuntos!G19," - ")</f>
        <v>0.1605217622787169</v>
      </c>
      <c r="E19" s="811">
        <f>IF(ISNUMBER((NºAsuntos!C19+NºAsuntos!E19)/NºAsuntos!G19),(NºAsuntos!C19+NºAsuntos!E19)/NºAsuntos!G19," - ")</f>
        <v>3.3013443364834285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2DzDJbV5XbPQ4Za7aVrQGTOiK3+rAnHE0zJBJknaFrroPJ70/miLaHVOnLHg4Zwp70ayOvOtYVrxBLnvps4rQ==" saltValue="KJ4adpDh+iDN3lvf29NY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MARBELLA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732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481</v>
      </c>
      <c r="Y9" s="334">
        <f>SUM(W9:X9)</f>
        <v>481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10469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713</v>
      </c>
      <c r="AJ9" s="229" t="str">
        <f>IF(ISNUMBER(Datos!BW9),Datos!BW9," - ")</f>
        <v xml:space="preserve"> - </v>
      </c>
      <c r="AK9" s="228" t="str">
        <f>IF(ISNUMBER(Datos!BX9),Datos!BX9," - ")</f>
        <v xml:space="preserve"> - </v>
      </c>
      <c r="AL9" s="243">
        <f>IF(ISNUMBER(NºAsuntos!G9/NºAsuntos!E9),NºAsuntos!G9/NºAsuntos!E9," - ")</f>
        <v>0.71966527196652719</v>
      </c>
      <c r="AM9" s="260">
        <f>IF(ISNUMBER(((NºAsuntos!I9/NºAsuntos!G9)*11)/factor_trimestre),((NºAsuntos!I9/NºAsuntos!G9)*11)/factor_trimestre," - ")</f>
        <v>12.893638850889195</v>
      </c>
      <c r="AN9" s="244">
        <f>IF(ISNUMBER('Resol  Asuntos'!D9/NºAsuntos!G9),'Resol  Asuntos'!D9/NºAsuntos!G9," - ")</f>
        <v>0.24384404924760603</v>
      </c>
      <c r="AO9" s="245">
        <f>IF(ISNUMBER((NºAsuntos!C9+NºAsuntos!E9)/NºAsuntos!G9),(NºAsuntos!C9+NºAsuntos!E9)/NºAsuntos!G9," - ")</f>
        <v>5.295143638850889</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91</v>
      </c>
      <c r="G10" s="333">
        <f>IF(ISNUMBER(Datos!I10),Datos!I10," - ")</f>
        <v>68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40</v>
      </c>
      <c r="X10" s="226">
        <f>IF(ISNUMBER(Datos!Q10),Datos!Q10," - ")</f>
        <v>16</v>
      </c>
      <c r="Y10" s="334">
        <f t="shared" ref="Y10:Y12" si="0">SUM(W10:X10)</f>
        <v>56</v>
      </c>
      <c r="Z10" s="335" t="str">
        <f>IF(ISNUMBER(Datos!CC10),Datos!CC10," - ")</f>
        <v xml:space="preserve"> - </v>
      </c>
      <c r="AA10" s="332">
        <f>IF(ISNUMBER(Datos!L10),Datos!L10,"-")</f>
        <v>98</v>
      </c>
      <c r="AB10" s="334">
        <f>IF(ISNUMBER(Datos!R10),Datos!R10," - ")</f>
        <v>49</v>
      </c>
      <c r="AC10" s="334">
        <f t="shared" ref="AC10:AC12" si="1">IF(ISNUMBER(AA10+AB10),AA10+AB10," - ")</f>
        <v>147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0.85106382978723405</v>
      </c>
      <c r="AM10" s="260">
        <f>IF(ISNUMBER(((NºAsuntos!I10/NºAsuntos!G10)*11)/factor_trimestre),((NºAsuntos!I10/NºAsuntos!G10)*11)/factor_trimestre," - ")</f>
        <v>7.3500000000000014</v>
      </c>
      <c r="AN10" s="244">
        <f>IF(ISNUMBER('Resol  Asuntos'!D10/NºAsuntos!G10),'Resol  Asuntos'!D10/NºAsuntos!G10," - ")</f>
        <v>0.42499999999999999</v>
      </c>
      <c r="AO10" s="245">
        <f>IF(ISNUMBER((NºAsuntos!C10+NºAsuntos!E10)/NºAsuntos!G10),(NºAsuntos!C10+NºAsuntos!E10)/NºAsuntos!G10," - ")</f>
        <v>2.875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91</v>
      </c>
      <c r="G13" s="866">
        <f t="shared" si="3"/>
        <v>68</v>
      </c>
      <c r="H13" s="865">
        <f t="shared" si="3"/>
        <v>0</v>
      </c>
      <c r="I13" s="867">
        <f t="shared" si="3"/>
        <v>0</v>
      </c>
      <c r="J13" s="867">
        <f t="shared" si="3"/>
        <v>0</v>
      </c>
      <c r="K13" s="867">
        <f t="shared" si="3"/>
        <v>0</v>
      </c>
      <c r="L13" s="867">
        <f t="shared" si="3"/>
        <v>750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40</v>
      </c>
      <c r="X13" s="867">
        <f t="shared" si="4"/>
        <v>497</v>
      </c>
      <c r="Y13" s="868">
        <f t="shared" si="4"/>
        <v>537</v>
      </c>
      <c r="Z13" s="868">
        <f t="shared" si="4"/>
        <v>0</v>
      </c>
      <c r="AA13" s="868">
        <f t="shared" si="4"/>
        <v>98</v>
      </c>
      <c r="AB13" s="868">
        <f t="shared" si="4"/>
        <v>10518</v>
      </c>
      <c r="AC13" s="868">
        <f t="shared" si="4"/>
        <v>147</v>
      </c>
      <c r="AD13" s="868">
        <f t="shared" si="4"/>
        <v>0</v>
      </c>
      <c r="AE13" s="872">
        <f t="shared" si="4"/>
        <v>0</v>
      </c>
      <c r="AF13" s="865">
        <f t="shared" si="4"/>
        <v>0</v>
      </c>
      <c r="AG13" s="873">
        <f t="shared" si="4"/>
        <v>0</v>
      </c>
      <c r="AH13" s="870">
        <f t="shared" si="4"/>
        <v>0</v>
      </c>
      <c r="AI13" s="865">
        <f t="shared" si="4"/>
        <v>730</v>
      </c>
      <c r="AJ13" s="867">
        <f t="shared" si="4"/>
        <v>0</v>
      </c>
      <c r="AK13" s="870">
        <f>SUBTOTAL(9,AK9:AK12)</f>
        <v>0</v>
      </c>
      <c r="AL13" s="874">
        <f>IF(ISNUMBER(NºAsuntos!G13/NºAsuntos!E13),NºAsuntos!G13/NºAsuntos!E13," - ")</f>
        <v>0.7211678832116788</v>
      </c>
      <c r="AM13" s="874">
        <f>IF(ISNUMBER(((NºAsuntos!I13/NºAsuntos!G13)*11)/factor_trimestre),((NºAsuntos!I13/NºAsuntos!G13)*11)/factor_trimestre," - ")</f>
        <v>12.818825910931174</v>
      </c>
      <c r="AN13" s="875">
        <f>IF(ISNUMBER('Resol  Asuntos'!D13/NºAsuntos!G13),'Resol  Asuntos'!D13/NºAsuntos!G13," - ")</f>
        <v>0.24628879892037786</v>
      </c>
      <c r="AO13" s="876">
        <f>IF(ISNUMBER((NºAsuntos!C13+NºAsuntos!E13)/NºAsuntos!G13),(NºAsuntos!C13+NºAsuntos!E13)/NºAsuntos!G13," - ")</f>
        <v>5.262483130904184</v>
      </c>
      <c r="AP13" s="877" t="str">
        <f t="shared" si="2"/>
        <v xml:space="preserve"> - </v>
      </c>
      <c r="AQ13" s="877">
        <f>IF(ISNUMBER((H13-W13+K13)/(F13)),(H13-W13+K13)/(F13)," - ")</f>
        <v>-0.43956043956043955</v>
      </c>
      <c r="AR13" s="878">
        <f>IF(ISNUMBER((Datos!P13-Datos!Q13)/(Datos!R13-Datos!P13+Datos!Q13)),(Datos!P13-Datos!Q13)/(Datos!R13-Datos!P13+Datos!Q13)," - ")</f>
        <v>2.4646858256210425E-2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4108</v>
      </c>
      <c r="G15" s="333">
        <f>IF(ISNUMBER(IF(D_I="SI",Datos!I15,Datos!I15+Datos!AC15)),IF(D_I="SI",Datos!I15,Datos!I15+Datos!AC15)," - ")</f>
        <v>4164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125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4148</v>
      </c>
      <c r="X15" s="226">
        <f>IF(ISNUMBER(Datos!Q15),Datos!Q15," - ")</f>
        <v>123</v>
      </c>
      <c r="Y15" s="334">
        <f>SUM(W15)</f>
        <v>4148</v>
      </c>
      <c r="Z15" s="335" t="str">
        <f>IF(ISNUMBER(Datos!CC15),Datos!CC15," - ")</f>
        <v xml:space="preserve"> - </v>
      </c>
      <c r="AA15" s="332">
        <f>IF(ISNUMBER(IF(D_I="SI",Datos!L15,Datos!L15+Datos!AF15)),IF(D_I="SI",Datos!L15,Datos!L15+Datos!AF15)," - ")</f>
        <v>4034</v>
      </c>
      <c r="AB15" s="334">
        <f>IF(ISNUMBER(Datos!R15),Datos!R15," - ")</f>
        <v>348</v>
      </c>
      <c r="AC15" s="334">
        <f t="shared" ref="AC15:AC17" si="6">IF(ISNUMBER(AA15+AB15),AA15+AB15," - ")</f>
        <v>4382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439</v>
      </c>
      <c r="AJ15" s="231" t="str">
        <f>IF(ISNUMBER(Datos!BW15),Datos!BW15," - ")</f>
        <v xml:space="preserve"> - </v>
      </c>
      <c r="AK15" s="232" t="str">
        <f>IF(ISNUMBER(Datos!BX15),Datos!BX15," - ")</f>
        <v xml:space="preserve"> - </v>
      </c>
      <c r="AL15" s="243">
        <f>IF(ISNUMBER(NºAsuntos!G15/NºAsuntos!E15),NºAsuntos!G15/NºAsuntos!E15," - ")</f>
        <v>1.0181639666175748</v>
      </c>
      <c r="AM15" s="260">
        <f>IF(ISNUMBER(((NºAsuntos!I15/NºAsuntos!G15)*11)/factor_trimestre),((NºAsuntos!I15/NºAsuntos!G15)*11)/factor_trimestre," - ")</f>
        <v>2.9175506268081004</v>
      </c>
      <c r="AN15" s="244">
        <f>IF(ISNUMBER('Resol  Asuntos'!D15/NºAsuntos!G15),'Resol  Asuntos'!D15/NºAsuntos!G15," - ")</f>
        <v>0.10583413693346191</v>
      </c>
      <c r="AO15" s="245">
        <f>IF(ISNUMBER((NºAsuntos!C15+NºAsuntos!E15)/NºAsuntos!G15),(NºAsuntos!C15+NºAsuntos!E15)/NºAsuntos!G15," - ")</f>
        <v>1.9860173577627773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401</v>
      </c>
      <c r="X17" s="226">
        <f>IF(ISNUMBER(Datos!Q17),Datos!Q17," - ")</f>
        <v>5</v>
      </c>
      <c r="Y17" s="334">
        <f t="shared" si="7"/>
        <v>406</v>
      </c>
      <c r="Z17" s="335" t="str">
        <f>IF(ISNUMBER(Datos!CC17),Datos!CC17," - ")</f>
        <v xml:space="preserve"> - </v>
      </c>
      <c r="AA17" s="332">
        <f>IF(ISNUMBER(Datos!L17),Datos!L17,"-")</f>
        <v>579</v>
      </c>
      <c r="AB17" s="334">
        <f>IF(ISNUMBER(Datos!R17),Datos!R17," - ")</f>
        <v>55</v>
      </c>
      <c r="AC17" s="334">
        <f t="shared" si="6"/>
        <v>634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37</v>
      </c>
      <c r="AJ17" s="231" t="str">
        <f>IF(ISNUMBER(Datos!BW17),Datos!BW17," - ")</f>
        <v xml:space="preserve"> - </v>
      </c>
      <c r="AK17" s="232" t="str">
        <f>IF(ISNUMBER(Datos!BX17),Datos!BX17," - ")</f>
        <v xml:space="preserve"> - </v>
      </c>
      <c r="AL17" s="243">
        <f>IF(ISNUMBER(NºAsuntos!G17/NºAsuntos!E17),NºAsuntos!G17/NºAsuntos!E17," - ")</f>
        <v>0.64886731391585761</v>
      </c>
      <c r="AM17" s="260">
        <f>IF(ISNUMBER(((NºAsuntos!I17/NºAsuntos!G17)*11)/factor_trimestre),((NºAsuntos!I17/NºAsuntos!G17)*11)/factor_trimestre," - ")</f>
        <v>4.3316708229426437</v>
      </c>
      <c r="AN17" s="244">
        <f>IF(ISNUMBER('Resol  Asuntos'!D17/NºAsuntos!G17),'Resol  Asuntos'!D17/NºAsuntos!G17," - ")</f>
        <v>9.2269326683291769E-2</v>
      </c>
      <c r="AO17" s="245">
        <f>IF(ISNUMBER((NºAsuntos!C17+NºAsuntos!E17)/NºAsuntos!G17),(NºAsuntos!C17+NºAsuntos!E17)/NºAsuntos!G17," - ")</f>
        <v>2.4114713216957604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4108</v>
      </c>
      <c r="G18" s="866">
        <f>SUBTOTAL(9,G15:G17)</f>
        <v>4513</v>
      </c>
      <c r="H18" s="865">
        <f t="shared" ref="H18:O18" si="10">SUBTOTAL(9,H14:H17)</f>
        <v>0</v>
      </c>
      <c r="I18" s="867">
        <f t="shared" si="10"/>
        <v>0</v>
      </c>
      <c r="J18" s="867">
        <f t="shared" si="10"/>
        <v>0</v>
      </c>
      <c r="K18" s="867">
        <f t="shared" si="10"/>
        <v>0</v>
      </c>
      <c r="L18" s="867">
        <f t="shared" si="10"/>
        <v>131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4549</v>
      </c>
      <c r="X18" s="867">
        <f t="shared" si="11"/>
        <v>128</v>
      </c>
      <c r="Y18" s="868">
        <f t="shared" si="11"/>
        <v>4554</v>
      </c>
      <c r="Z18" s="868">
        <f t="shared" si="11"/>
        <v>0</v>
      </c>
      <c r="AA18" s="868">
        <f t="shared" si="11"/>
        <v>4613</v>
      </c>
      <c r="AB18" s="868">
        <f t="shared" si="11"/>
        <v>403</v>
      </c>
      <c r="AC18" s="868">
        <f t="shared" si="11"/>
        <v>5016</v>
      </c>
      <c r="AD18" s="868">
        <f t="shared" si="11"/>
        <v>0</v>
      </c>
      <c r="AE18" s="872">
        <f t="shared" si="11"/>
        <v>0</v>
      </c>
      <c r="AF18" s="865">
        <f t="shared" si="11"/>
        <v>0</v>
      </c>
      <c r="AG18" s="873">
        <f t="shared" si="11"/>
        <v>0</v>
      </c>
      <c r="AH18" s="870">
        <f t="shared" si="11"/>
        <v>0</v>
      </c>
      <c r="AI18" s="865">
        <f t="shared" si="11"/>
        <v>476</v>
      </c>
      <c r="AJ18" s="867">
        <f t="shared" si="11"/>
        <v>0</v>
      </c>
      <c r="AK18" s="870">
        <f t="shared" si="11"/>
        <v>0</v>
      </c>
      <c r="AL18" s="874">
        <f>IF(ISNUMBER(NºAsuntos!G18/NºAsuntos!E18),NºAsuntos!G18/NºAsuntos!E18," - ")</f>
        <v>0.96952259164535382</v>
      </c>
      <c r="AM18" s="874">
        <f>IF(ISNUMBER(((NºAsuntos!I18/NºAsuntos!G18)*11)/factor_trimestre),((NºAsuntos!I18/NºAsuntos!G18)*11)/factor_trimestre," - ")</f>
        <v>3.0422070784787865</v>
      </c>
      <c r="AN18" s="875">
        <f>IF(ISNUMBER('Resol  Asuntos'!D18/NºAsuntos!G18),'Resol  Asuntos'!D18/NºAsuntos!G18," - ")</f>
        <v>0.10463838206199165</v>
      </c>
      <c r="AO18" s="876">
        <f>IF(ISNUMBER((NºAsuntos!C18+NºAsuntos!E18)/NºAsuntos!G18),(NºAsuntos!C18+NºAsuntos!E18)/NºAsuntos!G18," - ")</f>
        <v>2.0235216531105737</v>
      </c>
      <c r="AP18" s="877" t="str">
        <f t="shared" si="2"/>
        <v xml:space="preserve"> - </v>
      </c>
      <c r="AQ18" s="877">
        <f>IF(ISNUMBER((H18-W18+K18)/(F18)),(H18-W18+K18)/(F18)," - ")</f>
        <v>-1.1073515092502435</v>
      </c>
      <c r="AR18" s="878">
        <f>IF(ISNUMBER((Datos!P18-Datos!Q18)/(Datos!R18-Datos!P18+Datos!Q18)),(Datos!P18-Datos!Q18)/(Datos!R18-Datos!P18+Datos!Q18)," - ")</f>
        <v>7.4999999999999997E-3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4199</v>
      </c>
      <c r="G19" s="821">
        <f t="shared" si="13"/>
        <v>4581</v>
      </c>
      <c r="H19" s="820">
        <f t="shared" si="13"/>
        <v>0</v>
      </c>
      <c r="I19" s="822">
        <f t="shared" si="13"/>
        <v>0</v>
      </c>
      <c r="J19" s="822">
        <f t="shared" si="13"/>
        <v>0</v>
      </c>
      <c r="K19" s="881">
        <f t="shared" si="13"/>
        <v>0</v>
      </c>
      <c r="L19" s="822">
        <f t="shared" si="13"/>
        <v>881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4589</v>
      </c>
      <c r="X19" s="821">
        <f t="shared" si="14"/>
        <v>625</v>
      </c>
      <c r="Y19" s="828">
        <f t="shared" si="14"/>
        <v>5091</v>
      </c>
      <c r="Z19" s="828">
        <f t="shared" si="14"/>
        <v>0</v>
      </c>
      <c r="AA19" s="828">
        <f t="shared" si="14"/>
        <v>4711</v>
      </c>
      <c r="AB19" s="828">
        <f t="shared" si="14"/>
        <v>10921</v>
      </c>
      <c r="AC19" s="828">
        <f t="shared" si="14"/>
        <v>5163</v>
      </c>
      <c r="AD19" s="828">
        <f t="shared" si="14"/>
        <v>0</v>
      </c>
      <c r="AE19" s="830">
        <f t="shared" si="14"/>
        <v>0</v>
      </c>
      <c r="AF19" s="831">
        <f t="shared" si="14"/>
        <v>0</v>
      </c>
      <c r="AG19" s="832">
        <f t="shared" si="14"/>
        <v>0</v>
      </c>
      <c r="AH19" s="830">
        <f t="shared" si="14"/>
        <v>0</v>
      </c>
      <c r="AI19" s="820">
        <f t="shared" si="14"/>
        <v>1206</v>
      </c>
      <c r="AJ19" s="820">
        <f t="shared" si="14"/>
        <v>0</v>
      </c>
      <c r="AK19" s="830">
        <f t="shared" si="14"/>
        <v>0</v>
      </c>
      <c r="AL19" s="884">
        <f>IF(ISNUMBER(NºAsuntos!G19/NºAsuntos!E19),NºAsuntos!G19/NºAsuntos!E19," - ")</f>
        <v>0.85355600999772774</v>
      </c>
      <c r="AM19" s="885">
        <f>IF(ISNUMBER(((NºAsuntos!I19/NºAsuntos!G19)*11)/factor_trimestre),((NºAsuntos!I19/NºAsuntos!G19)*11)/factor_trimestre," - ")</f>
        <v>6.8992413150539074</v>
      </c>
      <c r="AN19" s="885">
        <f>IF(ISNUMBER('Resol  Asuntos'!D19/NºAsuntos!G19),'Resol  Asuntos'!D19/NºAsuntos!G19," - ")</f>
        <v>0.1605217622787169</v>
      </c>
      <c r="AO19" s="886">
        <f>IF(ISNUMBER((NºAsuntos!C19+NºAsuntos!E19)/NºAsuntos!G19),(NºAsuntos!C19+NºAsuntos!E19)/NºAsuntos!G19," - ")</f>
        <v>3.3013443364834285</v>
      </c>
      <c r="AP19" s="887" t="str">
        <f t="shared" si="2"/>
        <v xml:space="preserve"> - </v>
      </c>
      <c r="AQ19" s="888">
        <f>IF(OR(ISNUMBER(FIND("01",Criterios!A8,1)),ISNUMBER(FIND("02",Criterios!A8,1)),ISNUMBER(FIND("03",Criterios!A8,1)),ISNUMBER(FIND("04",Criterios!A8,1))),(I19-W19+K19)/(F19-K19),(H19-W19+K19)/(F19-K19))</f>
        <v>-1.0928792569659442</v>
      </c>
      <c r="AR19" s="889">
        <f>IF(ISNUMBER((Datos!P19-Datos!Q19)/(Datos!R19-Datos!P19+Datos!Q19)),(Datos!P19-Datos!Q19)/(Datos!R19-Datos!P19+Datos!Q19)," - ")</f>
        <v>2.4003750586029066E-2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1832.4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3.6742346141747673</v>
      </c>
      <c r="F21" s="252">
        <f>IF(ISNUMBER(STDEV(F8:F18)),STDEV(F8:F18),"-")</f>
        <v>2319.2160313347267</v>
      </c>
      <c r="G21" s="253">
        <f>IF(ISNUMBER(STDEV(G8:G18)),STDEV(G8:G18),"-")</f>
        <v>2293.941215463029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2303.0506507673686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313.87895756166898</v>
      </c>
      <c r="AJ21" s="252">
        <f t="shared" si="18"/>
        <v>0</v>
      </c>
      <c r="AK21" s="254">
        <f t="shared" si="18"/>
        <v>0</v>
      </c>
      <c r="AL21" s="249">
        <f t="shared" si="18"/>
        <v>0.14946589107399064</v>
      </c>
      <c r="AM21" s="250">
        <f t="shared" si="18"/>
        <v>4.6445927199504036</v>
      </c>
      <c r="AN21" s="250">
        <f t="shared" si="18"/>
        <v>0.12977183723442512</v>
      </c>
      <c r="AO21" s="251">
        <f t="shared" si="18"/>
        <v>1.5593276920062109</v>
      </c>
      <c r="AP21" s="291" t="str">
        <f t="shared" si="18"/>
        <v>-</v>
      </c>
      <c r="AQ21" s="292">
        <f t="shared" si="18"/>
        <v>0.47219959379347848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3/MEA97PLI0ZhVtmN0GpluxLBCnfQH47HjCQqikTO1e+VEDTX4eFq6CixjUUVkbOIG1AdVrGAdETidQqJHTdOg==" saltValue="5l0OCy6hEH3SDjkA6qg+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MARBELLA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8.1942336874051599E-2</v>
      </c>
      <c r="I9" s="350">
        <f>IF(ISNUMBER((Tasas!C9-Datos!BE9)/Datos!BE9),(Tasas!C9-Datos!BE9)/Datos!BE9," - ")</f>
        <v>6.5880767955301192E-2</v>
      </c>
      <c r="J9" s="349">
        <f>IF(ISNUMBER((Tasas!D9-Datos!BF9)/Datos!BF9),(Tasas!D9-Datos!BF9)/Datos!BF9," - ")</f>
        <v>-0.2111828808887117</v>
      </c>
      <c r="K9" s="351">
        <f>IF(ISNUMBER((Tasas!E9-Datos!BG9)/Datos!BG9),(Tasas!E9-Datos!BG9)/Datos!BG9," - ")</f>
        <v>5.2164123006485069E-2</v>
      </c>
      <c r="M9" t="e">
        <f>IF(Monitorios="SI",Datos!CE9,0)</f>
        <v>#REF!</v>
      </c>
      <c r="N9" t="e">
        <f>IF(Monitorios="SI",Datos!CF9,0)</f>
        <v>#REF!</v>
      </c>
      <c r="O9" t="e">
        <f>IF(Monitorios="SI",Datos!CG9,0)</f>
        <v>#REF!</v>
      </c>
      <c r="P9" t="e">
        <f>IF(Monitorios="SI",Datos!CH9,0)</f>
        <v>#REF!</v>
      </c>
      <c r="Q9">
        <f>IF(J_V="SI",0,Datos!AG9)</f>
        <v>265</v>
      </c>
      <c r="R9">
        <f>IF(J_V="SI",0,Datos!AH9)</f>
        <v>126</v>
      </c>
      <c r="S9">
        <f>IF(J_V="SI",0,Datos!AI9)</f>
        <v>129</v>
      </c>
      <c r="T9">
        <f>IF(J_V="SI",0,Datos!AJ9)</f>
        <v>262</v>
      </c>
    </row>
    <row r="10" spans="2:20" ht="14.25">
      <c r="B10" s="275" t="s">
        <v>246</v>
      </c>
      <c r="C10" s="7" t="str">
        <f>Datos!A10</f>
        <v>Jdos. Violencia contra la mujer</v>
      </c>
      <c r="D10" s="352">
        <f>IF(ISNUMBER((Datos!I10-Datos!S10)/Datos!S10),(Datos!I10-Datos!S10)/Datos!S10," - ")</f>
        <v>-0.24444444444444444</v>
      </c>
      <c r="E10" s="348">
        <f>IF(ISNUMBER((Datos!J10-Datos!T10)/Datos!T10),(Datos!J10-Datos!T10)/Datos!T10," - ")</f>
        <v>0.6785714285714286</v>
      </c>
      <c r="F10" s="348">
        <f>IF(ISNUMBER((Datos!K10-Datos!U10)/Datos!U10),(Datos!K10-Datos!U10)/Datos!U10," - ")</f>
        <v>1.1052631578947369</v>
      </c>
      <c r="G10" s="349">
        <f>IF(ISNUMBER((Datos!L10-Datos!V10)/Datos!V10),(Datos!L10-Datos!V10)/Datos!V10," - ")</f>
        <v>0.22500000000000001</v>
      </c>
      <c r="H10" s="230">
        <f>IF(ISNUMBER((Datos!M10-Datos!W10)/Datos!W10),(Datos!M10-Datos!W10)/Datos!W10," - ")</f>
        <v>2.4</v>
      </c>
      <c r="I10" s="350">
        <f>IF(ISNUMBER((Tasas!C10-Datos!BE10)/Datos!BE10),(Tasas!C10-Datos!BE10)/Datos!BE10," - ")</f>
        <v>-0.41812499999999991</v>
      </c>
      <c r="J10" s="349">
        <f>IF(ISNUMBER((Tasas!D10-Datos!BF10)/Datos!BF10),(Tasas!D10-Datos!BF10)/Datos!BF10," - ")</f>
        <v>0.6150000000000001</v>
      </c>
      <c r="K10" s="351">
        <f>IF(ISNUMBER((Tasas!E10-Datos!BG10)/Datos!BG10),(Tasas!E10-Datos!BG10)/Datos!BG10," - ")</f>
        <v>-0.53707627118644063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9.9397590361445784E-2</v>
      </c>
      <c r="I13" s="357">
        <f>IF(ISNUMBER((Tasas!C13-Datos!BE13)/Datos!BE13),(Tasas!C13-Datos!BE13)/Datos!BE13," - ")</f>
        <v>5.9353098631860494E-2</v>
      </c>
      <c r="J13" s="355">
        <f>IF(ISNUMBER((Tasas!D13-Datos!BF13)/Datos!BF13),(Tasas!D13-Datos!BF13)/Datos!BF13," - ")</f>
        <v>-0.20240556254749048</v>
      </c>
      <c r="K13" s="358">
        <f>IF(ISNUMBER((Tasas!E13-Datos!BG13)/Datos!BG13),(Tasas!E13-Datos!BG13)/Datos!BG13," - ")</f>
        <v>4.3884777973958289E-2</v>
      </c>
      <c r="M13" t="e">
        <f>IF(Monitorios="SI",Datos!CE13,0)</f>
        <v>#REF!</v>
      </c>
      <c r="N13" t="e">
        <f>IF(Monitorios="SI",Datos!CF13,0)</f>
        <v>#REF!</v>
      </c>
      <c r="O13" t="e">
        <f>IF(Monitorios="SI",Datos!CG13,0)</f>
        <v>#REF!</v>
      </c>
      <c r="P13" t="e">
        <f>IF(Monitorios="SI",Datos!CH13,0)</f>
        <v>#REF!</v>
      </c>
      <c r="Q13">
        <f>IF(J_V="SI",0,Datos!AG13)</f>
        <v>265</v>
      </c>
      <c r="R13">
        <f>IF(J_V="SI",0,Datos!AH13)</f>
        <v>126</v>
      </c>
      <c r="S13">
        <f>IF(J_V="SI",0,Datos!AI13)</f>
        <v>129</v>
      </c>
      <c r="T13">
        <f>IF(J_V="SI",0,Datos!AJ13)</f>
        <v>262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6.062149770759042E-2</v>
      </c>
      <c r="E15" s="348">
        <f>IF(ISNUMBER(
   IF(D_I="SI",(Datos!J15-Datos!T15)/Datos!T15,(Datos!J15+Datos!AD15-(Datos!T15+Datos!AL15))/(Datos!T15+Datos!AL15))
     ),IF(D_I="SI",(Datos!J15-Datos!T15)/Datos!T15,(Datos!J15+Datos!AD15-(Datos!T15+Datos!AL15))/(Datos!T15+Datos!AL15))," - ")</f>
        <v>-0.12198275862068965</v>
      </c>
      <c r="F15" s="348">
        <f>IF(ISNUMBER(
   IF(D_I="SI",(Datos!K15-Datos!U15)/Datos!U15,(Datos!K15+Datos!AE15-(Datos!U15+Datos!AM15))/(Datos!U15+Datos!AM15))
     ),IF(D_I="SI",(Datos!K15-Datos!U15)/Datos!U15,(Datos!K15+Datos!AE15-(Datos!U15+Datos!AM15))/(Datos!U15+Datos!AM15))," - ")</f>
        <v>-7.203579418344519E-2</v>
      </c>
      <c r="G15" s="349">
        <f>IF(ISNUMBER(
   IF(D_I="SI",(Datos!L15-Datos!V15)/Datos!V15,(Datos!L15+Datos!AF15-(Datos!V15+Datos!AN15))/(Datos!V15+Datos!AN15))
     ),IF(D_I="SI",(Datos!L15-Datos!V15)/Datos!V15,(Datos!L15+Datos!AF15-(Datos!V15+Datos!AN15))/(Datos!V15+Datos!AN15))," - ")</f>
        <v>5.1342194422726091E-2</v>
      </c>
      <c r="H15" s="230">
        <f>IF(ISNUMBER((Datos!M15-Datos!W15)/Datos!W15),(Datos!M15-Datos!W15)/Datos!W15," - ")</f>
        <v>0.13730569948186527</v>
      </c>
      <c r="I15" s="350">
        <f>IF(ISNUMBER((Tasas!C15-Datos!BE15)/Datos!BE15),(Tasas!C15-Datos!BE15)/Datos!BE15," - ")</f>
        <v>0.13295554702738319</v>
      </c>
      <c r="J15" s="349">
        <f>IF(ISNUMBER((Tasas!D15-Datos!BF15)/Datos!BF15),(Tasas!D15-Datos!BF15)/Datos!BF15," - ")</f>
        <v>0.22559220749371703</v>
      </c>
      <c r="K15" s="351">
        <f>IF(ISNUMBER((Tasas!E15-Datos!BG15)/Datos!BG15),(Tasas!E15-Datos!BG15)/Datos!BG15," - ")</f>
        <v>3.636441620355061E-2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1.5289855072463767</v>
      </c>
      <c r="E17" s="348">
        <f>IF(ISNUMBER(
   IF(D_I="SI",(Datos!J17-Datos!T17)/Datos!T17,(Datos!J17+Datos!AD17-(Datos!T17+Datos!AL17))/(Datos!T17+Datos!AL17))
     ),IF(D_I="SI",(Datos!J17-Datos!T17)/Datos!T17,(Datos!J17+Datos!AD17-(Datos!T17+Datos!AL17))/(Datos!T17+Datos!AL17))," - ")</f>
        <v>1.1164383561643836</v>
      </c>
      <c r="F17" s="348">
        <f>IF(ISNUMBER(
   IF(D_I="SI",(Datos!K17-Datos!U17)/Datos!U17,(Datos!K17+Datos!AE17-(Datos!U17+Datos!AM17))/(Datos!U17+Datos!AM17))
     ),IF(D_I="SI",(Datos!K17-Datos!U17)/Datos!U17,(Datos!K17+Datos!AE17-(Datos!U17+Datos!AM17))/(Datos!U17+Datos!AM17))," - ")</f>
        <v>0.40701754385964911</v>
      </c>
      <c r="G17" s="349">
        <f>IF(ISNUMBER(
   IF(D_I="SI",(Datos!L17-Datos!V17)/Datos!V17,(Datos!L17+Datos!AF17-(Datos!V17+Datos!AN17))/(Datos!V17+Datos!AN17))
     ),IF(D_I="SI",(Datos!L17-Datos!V17)/Datos!V17,(Datos!L17+Datos!AF17-(Datos!V17+Datos!AN17))/(Datos!V17+Datos!AN17))," - ")</f>
        <v>2.8344370860927151</v>
      </c>
      <c r="H17" s="230">
        <f>IF(ISNUMBER((Datos!M17-Datos!W17)/Datos!W17),(Datos!M17-Datos!W17)/Datos!W17," - ")</f>
        <v>0.12121212121212122</v>
      </c>
      <c r="I17" s="350">
        <f>IF(ISNUMBER((Tasas!C17-Datos!BE17)/Datos!BE17),(Tasas!C17-Datos!BE17)/Datos!BE17," - ")</f>
        <v>1.7252233654274911</v>
      </c>
      <c r="J17" s="349">
        <f>IF(ISNUMBER((Tasas!D17-Datos!BF17)/Datos!BF17),(Tasas!D17-Datos!BF17)/Datos!BF17," - ")</f>
        <v>-0.20312854228066199</v>
      </c>
      <c r="K17" s="351">
        <f>IF(ISNUMBER((Tasas!E17-Datos!BG17)/Datos!BG17),(Tasas!E17-Datos!BG17)/Datos!BG17," - ")</f>
        <v>0.59830075972858532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0.11048228346456693</v>
      </c>
      <c r="E18" s="354">
        <f>IF(ISNUMBER(
   IF(D_I="SI",(Datos!J18-Datos!T18)/Datos!T18,(Datos!J18+Datos!AD18-(Datos!T18+Datos!AL18))/(Datos!T18+Datos!AL18))
     ),IF(D_I="SI",(Datos!J18-Datos!T18)/Datos!T18,(Datos!J18+Datos!AD18-(Datos!T18+Datos!AL18))/(Datos!T18+Datos!AL18))," - ")</f>
        <v>-4.8661800486618008E-2</v>
      </c>
      <c r="F18" s="354">
        <f>IF(ISNUMBER(
   IF(D_I="SI",(Datos!K18-Datos!U18)/Datos!U18,(Datos!K18+Datos!AE18-(Datos!U18+Datos!AM18))/(Datos!U18+Datos!AM18))
     ),IF(D_I="SI",(Datos!K18-Datos!U18)/Datos!U18,(Datos!K18+Datos!AE18-(Datos!U18+Datos!AM18))/(Datos!U18+Datos!AM18))," - ")</f>
        <v>-4.3322818086225026E-2</v>
      </c>
      <c r="G18" s="355">
        <f>IF(ISNUMBER(
   IF(D_I="SI",(Datos!L18-Datos!V18)/Datos!V18,(Datos!L18+Datos!AF18-(Datos!V18+Datos!AN18))/(Datos!V18+Datos!AN18))
     ),IF(D_I="SI",(Datos!L18-Datos!V18)/Datos!V18,(Datos!L18+Datos!AF18-(Datos!V18+Datos!AN18))/(Datos!V18+Datos!AN18))," - ")</f>
        <v>0.15672016048144433</v>
      </c>
      <c r="H18" s="356">
        <f>IF(ISNUMBER((Datos!M18-Datos!W18)/Datos!W18),(Datos!M18-Datos!W18)/Datos!W18," - ")</f>
        <v>0.13603818615751789</v>
      </c>
      <c r="I18" s="357">
        <f>IF(ISNUMBER((Tasas!C18-Datos!BE18)/Datos!BE18),(Tasas!C18-Datos!BE18)/Datos!BE18," - ")</f>
        <v>0.20910186042850459</v>
      </c>
      <c r="J18" s="355">
        <f>IF(ISNUMBER((Tasas!D18-Datos!BF18)/Datos!BF18),(Tasas!D18-Datos!BF18)/Datos!BF18," - ")</f>
        <v>0.1874833095579243</v>
      </c>
      <c r="K18" s="358">
        <f>IF(ISNUMBER((Tasas!E18-Datos!BG18)/Datos!BG18),(Tasas!E18-Datos!BG18)/Datos!BG18," - ")</f>
        <v>6.9569304195284315E-2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0.10306080242658211</v>
      </c>
      <c r="E19" s="363">
        <f>IF(ISNUMBER(
   IF(J_V="SI",(Datos!J19-Datos!T19)/Datos!T19,(Datos!J19+Datos!Z19-(Datos!T19+Datos!AH19))/(Datos!T19+Datos!AH19))
     ),IF(J_V="SI",(Datos!J19-Datos!T19)/Datos!T19,(Datos!J19+Datos!Z19-(Datos!T19+Datos!AH19))/(Datos!T19+Datos!AH19))," - ")</f>
        <v>0.1632086692216202</v>
      </c>
      <c r="F19" s="363">
        <f>IF(ISNUMBER(
   IF(J_V="SI",(Datos!K19-Datos!U19)/Datos!U19,(Datos!K19+Datos!AA19-(Datos!U19+Datos!AI19))/(Datos!U19+Datos!AI19))
     ),IF(J_V="SI",(Datos!K19-Datos!U19)/Datos!U19,(Datos!K19+Datos!AA19-(Datos!U19+Datos!AI19))/(Datos!U19+Datos!AI19))," - ")</f>
        <v>2.2315961355286434E-2</v>
      </c>
      <c r="G19" s="364">
        <f>IF(ISNUMBER(
   IF(J_V="SI",(Datos!L19-Datos!V19)/Datos!V19,(Datos!L19+Datos!AB19-(Datos!V19+Datos!AJ19))/(Datos!V19+Datos!AJ19))
     ),IF(J_V="SI",(Datos!L19-Datos!V19)/Datos!V19,(Datos!L19+Datos!AB19-(Datos!V19+Datos!AJ19))/(Datos!V19+Datos!AJ19))," - ")</f>
        <v>0.19562660023527784</v>
      </c>
      <c r="H19" s="365">
        <f>IF(ISNUMBER((Datos!M19-Datos!W19)/Datos!W19),(Datos!M19-Datos!W19)/Datos!W19," - ")</f>
        <v>0.11357340720221606</v>
      </c>
      <c r="I19" s="362">
        <f>IF(ISNUMBER((Tasas!C19-Datos!BE19)/Datos!BE19),(Tasas!C19-Datos!BE19)/Datos!BE19," - ")</f>
        <v>0.16952747040184449</v>
      </c>
      <c r="J19" s="363">
        <f>IF(ISNUMBER((Tasas!D19-Datos!BF19)/Datos!BF19),(Tasas!D19-Datos!BF19)/Datos!BF19," - ")</f>
        <v>-3.305374509320453E-2</v>
      </c>
      <c r="K19" s="364">
        <f>IF(ISNUMBER((Tasas!E19-Datos!BG19)/Datos!BG19),(Tasas!E19-Datos!BG19)/Datos!BG19," - ")</f>
        <v>9.9151883695769299E-2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0.79240258934163454</v>
      </c>
      <c r="E21" s="278">
        <f t="shared" si="1"/>
        <v>0.59567915146159789</v>
      </c>
      <c r="F21" s="278">
        <f t="shared" si="1"/>
        <v>0.54969328429497033</v>
      </c>
      <c r="G21" s="279">
        <f t="shared" si="1"/>
        <v>1.3469369789041721</v>
      </c>
      <c r="H21" s="285">
        <f t="shared" si="1"/>
        <v>0.93302232349014647</v>
      </c>
      <c r="I21" s="277">
        <f t="shared" si="1"/>
        <v>0.73426764995998872</v>
      </c>
      <c r="J21" s="278">
        <f t="shared" si="1"/>
        <v>0.33552693508789583</v>
      </c>
      <c r="K21" s="279">
        <f t="shared" si="1"/>
        <v>0.35935431485653146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5iy+5K6gOrx/FFAacjinkASgAgI7uhTIaykZLD45CzObTCZyJSW+WjmUMh2iK90EdvvrNZ3NiLoVhm2/HeRfw==" saltValue="Msionwk724HxEU3rXB4F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2025-02-27T19:03:12Z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